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Стяжки\18 корп\"/>
    </mc:Choice>
  </mc:AlternateContent>
  <xr:revisionPtr revIDLastSave="0" documentId="13_ncr:1_{81999F59-51E3-4DFC-810A-247C189AB450}" xr6:coauthVersionLast="45" xr6:coauthVersionMax="45" xr10:uidLastSave="{00000000-0000-0000-0000-000000000000}"/>
  <bookViews>
    <workbookView xWindow="-120" yWindow="-120" windowWidth="29040" windowHeight="15990" activeTab="2" xr2:uid="{CD6B0E47-5873-4126-8178-7C37A61E6E5E}"/>
  </bookViews>
  <sheets>
    <sheet name="ВОР" sheetId="2" r:id="rId1"/>
    <sheet name="ЛЗК от 04.06" sheetId="3" r:id="rId2"/>
    <sheet name="Форма КП" sheetId="4" r:id="rId3"/>
  </sheets>
  <definedNames>
    <definedName name="_xlnm._FilterDatabase" localSheetId="0" hidden="1">ВОР!$A$18:$K$156</definedName>
    <definedName name="_xlnm._FilterDatabase" localSheetId="2" hidden="1">'Форма КП'!$A$18:$K$155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4" l="1"/>
  <c r="N28" i="4"/>
  <c r="N34" i="4"/>
  <c r="N40" i="4"/>
  <c r="N52" i="4"/>
  <c r="N60" i="4"/>
  <c r="N70" i="4"/>
  <c r="N80" i="4"/>
  <c r="N90" i="4"/>
  <c r="N98" i="4"/>
  <c r="J154" i="4"/>
  <c r="J155" i="4" s="1"/>
  <c r="I154" i="4"/>
  <c r="I155" i="4" s="1"/>
  <c r="H154" i="4"/>
  <c r="H155" i="4" s="1"/>
  <c r="G154" i="4"/>
  <c r="G155" i="4" s="1"/>
  <c r="J153" i="4"/>
  <c r="I153" i="4"/>
  <c r="H153" i="4"/>
  <c r="G153" i="4"/>
  <c r="F152" i="4"/>
  <c r="J152" i="4" s="1"/>
  <c r="K151" i="4"/>
  <c r="M151" i="4" s="1"/>
  <c r="J149" i="4"/>
  <c r="I149" i="4"/>
  <c r="H149" i="4"/>
  <c r="G149" i="4"/>
  <c r="G148" i="4"/>
  <c r="F148" i="4"/>
  <c r="J148" i="4" s="1"/>
  <c r="K147" i="4"/>
  <c r="M147" i="4" s="1"/>
  <c r="G143" i="4"/>
  <c r="F142" i="4"/>
  <c r="J141" i="4"/>
  <c r="I141" i="4"/>
  <c r="I144" i="4" s="1"/>
  <c r="H141" i="4"/>
  <c r="H144" i="4" s="1"/>
  <c r="G141" i="4"/>
  <c r="G144" i="4" s="1"/>
  <c r="J139" i="4"/>
  <c r="I139" i="4"/>
  <c r="H139" i="4"/>
  <c r="G139" i="4"/>
  <c r="G138" i="4"/>
  <c r="F138" i="4"/>
  <c r="J138" i="4" s="1"/>
  <c r="K137" i="4"/>
  <c r="M137" i="4" s="1"/>
  <c r="F135" i="4"/>
  <c r="J135" i="4" s="1"/>
  <c r="F134" i="4"/>
  <c r="G134" i="4" s="1"/>
  <c r="K133" i="4"/>
  <c r="M133" i="4" s="1"/>
  <c r="F128" i="4"/>
  <c r="J127" i="4"/>
  <c r="J130" i="4" s="1"/>
  <c r="J131" i="4" s="1"/>
  <c r="I127" i="4"/>
  <c r="I129" i="4" s="1"/>
  <c r="H127" i="4"/>
  <c r="H130" i="4" s="1"/>
  <c r="H131" i="4" s="1"/>
  <c r="G127" i="4"/>
  <c r="G130" i="4" s="1"/>
  <c r="J126" i="4"/>
  <c r="I126" i="4"/>
  <c r="H126" i="4"/>
  <c r="G126" i="4"/>
  <c r="K125" i="4"/>
  <c r="M125" i="4" s="1"/>
  <c r="F122" i="4"/>
  <c r="J121" i="4"/>
  <c r="I121" i="4"/>
  <c r="H121" i="4"/>
  <c r="H122" i="4" s="1"/>
  <c r="H123" i="4" s="1"/>
  <c r="G121" i="4"/>
  <c r="G123" i="4" s="1"/>
  <c r="J120" i="4"/>
  <c r="I120" i="4"/>
  <c r="H120" i="4"/>
  <c r="G120" i="4"/>
  <c r="K119" i="4"/>
  <c r="M119" i="4" s="1"/>
  <c r="F115" i="4"/>
  <c r="F113" i="4"/>
  <c r="I112" i="4"/>
  <c r="H112" i="4"/>
  <c r="F111" i="4"/>
  <c r="H111" i="4" s="1"/>
  <c r="K110" i="4"/>
  <c r="M110" i="4" s="1"/>
  <c r="I108" i="4"/>
  <c r="I109" i="4" s="1"/>
  <c r="H108" i="4"/>
  <c r="K108" i="4" s="1"/>
  <c r="M108" i="4" s="1"/>
  <c r="F105" i="4"/>
  <c r="I102" i="4"/>
  <c r="I103" i="4" s="1"/>
  <c r="H102" i="4"/>
  <c r="H104" i="4" s="1"/>
  <c r="F101" i="4"/>
  <c r="I101" i="4" s="1"/>
  <c r="K100" i="4"/>
  <c r="M100" i="4" s="1"/>
  <c r="F97" i="4"/>
  <c r="J96" i="4"/>
  <c r="J98" i="4" s="1"/>
  <c r="I96" i="4"/>
  <c r="I97" i="4" s="1"/>
  <c r="I98" i="4" s="1"/>
  <c r="H96" i="4"/>
  <c r="H97" i="4" s="1"/>
  <c r="H98" i="4" s="1"/>
  <c r="G96" i="4"/>
  <c r="G98" i="4" s="1"/>
  <c r="J94" i="4"/>
  <c r="J95" i="4" s="1"/>
  <c r="I94" i="4"/>
  <c r="I95" i="4" s="1"/>
  <c r="H94" i="4"/>
  <c r="H95" i="4" s="1"/>
  <c r="G94" i="4"/>
  <c r="I93" i="4"/>
  <c r="H93" i="4"/>
  <c r="F93" i="4"/>
  <c r="G93" i="4" s="1"/>
  <c r="K92" i="4"/>
  <c r="M92" i="4" s="1"/>
  <c r="F89" i="4"/>
  <c r="G89" i="4" s="1"/>
  <c r="J88" i="4"/>
  <c r="J90" i="4" s="1"/>
  <c r="G88" i="4"/>
  <c r="G90" i="4" s="1"/>
  <c r="J86" i="4"/>
  <c r="J87" i="4" s="1"/>
  <c r="I86" i="4"/>
  <c r="H86" i="4"/>
  <c r="H88" i="4" s="1"/>
  <c r="G86" i="4"/>
  <c r="J84" i="4"/>
  <c r="J85" i="4" s="1"/>
  <c r="I84" i="4"/>
  <c r="I85" i="4" s="1"/>
  <c r="H84" i="4"/>
  <c r="H85" i="4" s="1"/>
  <c r="G84" i="4"/>
  <c r="G85" i="4" s="1"/>
  <c r="F83" i="4"/>
  <c r="J83" i="4" s="1"/>
  <c r="K82" i="4"/>
  <c r="M82" i="4" s="1"/>
  <c r="F79" i="4"/>
  <c r="G79" i="4" s="1"/>
  <c r="J78" i="4"/>
  <c r="J80" i="4" s="1"/>
  <c r="G78" i="4"/>
  <c r="G80" i="4" s="1"/>
  <c r="F77" i="4"/>
  <c r="J76" i="4"/>
  <c r="I76" i="4"/>
  <c r="I78" i="4" s="1"/>
  <c r="H76" i="4"/>
  <c r="H78" i="4" s="1"/>
  <c r="G76" i="4"/>
  <c r="G77" i="4" s="1"/>
  <c r="F75" i="4"/>
  <c r="K74" i="4"/>
  <c r="M74" i="4" s="1"/>
  <c r="J72" i="4"/>
  <c r="J73" i="4" s="1"/>
  <c r="I72" i="4"/>
  <c r="I73" i="4" s="1"/>
  <c r="H72" i="4"/>
  <c r="H73" i="4" s="1"/>
  <c r="G72" i="4"/>
  <c r="G73" i="4" s="1"/>
  <c r="F69" i="4"/>
  <c r="F67" i="4"/>
  <c r="J67" i="4" s="1"/>
  <c r="J66" i="4"/>
  <c r="J68" i="4" s="1"/>
  <c r="I66" i="4"/>
  <c r="I68" i="4" s="1"/>
  <c r="I69" i="4" s="1"/>
  <c r="I70" i="4" s="1"/>
  <c r="H66" i="4"/>
  <c r="H68" i="4" s="1"/>
  <c r="H69" i="4" s="1"/>
  <c r="H70" i="4" s="1"/>
  <c r="G66" i="4"/>
  <c r="G68" i="4" s="1"/>
  <c r="F65" i="4"/>
  <c r="K64" i="4"/>
  <c r="M64" i="4" s="1"/>
  <c r="F59" i="4"/>
  <c r="J57" i="4"/>
  <c r="J56" i="4"/>
  <c r="J58" i="4" s="1"/>
  <c r="J61" i="4" s="1"/>
  <c r="J62" i="4" s="1"/>
  <c r="I56" i="4"/>
  <c r="I57" i="4" s="1"/>
  <c r="H56" i="4"/>
  <c r="G56" i="4"/>
  <c r="I55" i="4"/>
  <c r="H55" i="4"/>
  <c r="F55" i="4"/>
  <c r="G55" i="4" s="1"/>
  <c r="K54" i="4"/>
  <c r="M54" i="4" s="1"/>
  <c r="F52" i="4"/>
  <c r="F51" i="4"/>
  <c r="J48" i="4"/>
  <c r="I48" i="4"/>
  <c r="I50" i="4" s="1"/>
  <c r="H48" i="4"/>
  <c r="H49" i="4" s="1"/>
  <c r="G48" i="4"/>
  <c r="G49" i="4" s="1"/>
  <c r="F47" i="4"/>
  <c r="K46" i="4"/>
  <c r="M46" i="4" s="1"/>
  <c r="J41" i="4"/>
  <c r="J42" i="4" s="1"/>
  <c r="I41" i="4"/>
  <c r="I42" i="4" s="1"/>
  <c r="H41" i="4"/>
  <c r="H42" i="4" s="1"/>
  <c r="G41" i="4"/>
  <c r="G42" i="4" s="1"/>
  <c r="J40" i="4"/>
  <c r="I40" i="4"/>
  <c r="H40" i="4"/>
  <c r="G40" i="4"/>
  <c r="F39" i="4"/>
  <c r="G39" i="4" s="1"/>
  <c r="K38" i="4"/>
  <c r="M38" i="4" s="1"/>
  <c r="F36" i="4"/>
  <c r="F33" i="4"/>
  <c r="J32" i="4"/>
  <c r="J34" i="4" s="1"/>
  <c r="I32" i="4"/>
  <c r="H32" i="4"/>
  <c r="H35" i="4" s="1"/>
  <c r="H36" i="4" s="1"/>
  <c r="G32" i="4"/>
  <c r="G35" i="4" s="1"/>
  <c r="G36" i="4" s="1"/>
  <c r="H25" i="4"/>
  <c r="I23" i="4"/>
  <c r="I25" i="4" s="1"/>
  <c r="I28" i="4" s="1"/>
  <c r="H23" i="4"/>
  <c r="H29" i="4" s="1"/>
  <c r="I22" i="4"/>
  <c r="F22" i="4"/>
  <c r="I21" i="4"/>
  <c r="H21" i="4"/>
  <c r="I20" i="4"/>
  <c r="F20" i="4"/>
  <c r="H20" i="4" s="1"/>
  <c r="K19" i="4"/>
  <c r="M19" i="4" s="1"/>
  <c r="M156" i="4" s="1"/>
  <c r="H34" i="4" l="1"/>
  <c r="I39" i="4"/>
  <c r="G50" i="4"/>
  <c r="G52" i="4" s="1"/>
  <c r="H83" i="4"/>
  <c r="J97" i="4"/>
  <c r="I111" i="4"/>
  <c r="I122" i="4"/>
  <c r="I123" i="4" s="1"/>
  <c r="K126" i="4"/>
  <c r="N126" i="4" s="1"/>
  <c r="J128" i="4"/>
  <c r="G135" i="4"/>
  <c r="H138" i="4"/>
  <c r="I24" i="4"/>
  <c r="K40" i="4"/>
  <c r="K86" i="4"/>
  <c r="M86" i="4" s="1"/>
  <c r="G97" i="4"/>
  <c r="H109" i="4"/>
  <c r="K109" i="4" s="1"/>
  <c r="N109" i="4" s="1"/>
  <c r="K112" i="4"/>
  <c r="M112" i="4" s="1"/>
  <c r="H142" i="4"/>
  <c r="I79" i="4"/>
  <c r="I80" i="4" s="1"/>
  <c r="I113" i="4"/>
  <c r="K149" i="4"/>
  <c r="N149" i="4" s="1"/>
  <c r="K98" i="4"/>
  <c r="G87" i="4"/>
  <c r="H114" i="4"/>
  <c r="H116" i="4" s="1"/>
  <c r="K21" i="4"/>
  <c r="M21" i="4" s="1"/>
  <c r="G33" i="4"/>
  <c r="I51" i="4"/>
  <c r="I52" i="4" s="1"/>
  <c r="H50" i="4"/>
  <c r="H51" i="4" s="1"/>
  <c r="H52" i="4" s="1"/>
  <c r="I58" i="4"/>
  <c r="I61" i="4" s="1"/>
  <c r="I62" i="4" s="1"/>
  <c r="J77" i="4"/>
  <c r="J79" i="4"/>
  <c r="K79" i="4" s="1"/>
  <c r="N79" i="4" s="1"/>
  <c r="I83" i="4"/>
  <c r="H89" i="4"/>
  <c r="H90" i="4" s="1"/>
  <c r="H87" i="4"/>
  <c r="K94" i="4"/>
  <c r="M94" i="4" s="1"/>
  <c r="G95" i="4"/>
  <c r="K95" i="4" s="1"/>
  <c r="N95" i="4" s="1"/>
  <c r="H101" i="4"/>
  <c r="K102" i="4"/>
  <c r="M102" i="4" s="1"/>
  <c r="G128" i="4"/>
  <c r="H134" i="4"/>
  <c r="K139" i="4"/>
  <c r="N139" i="4" s="1"/>
  <c r="K97" i="4"/>
  <c r="N97" i="4" s="1"/>
  <c r="H22" i="4"/>
  <c r="K22" i="4" s="1"/>
  <c r="N22" i="4" s="1"/>
  <c r="K23" i="4"/>
  <c r="M23" i="4" s="1"/>
  <c r="H33" i="4"/>
  <c r="H39" i="4"/>
  <c r="J69" i="4"/>
  <c r="J70" i="4" s="1"/>
  <c r="K85" i="4"/>
  <c r="N85" i="4" s="1"/>
  <c r="H103" i="4"/>
  <c r="K103" i="4" s="1"/>
  <c r="N103" i="4" s="1"/>
  <c r="K111" i="4"/>
  <c r="N111" i="4" s="1"/>
  <c r="J129" i="4"/>
  <c r="I134" i="4"/>
  <c r="G142" i="4"/>
  <c r="G152" i="4"/>
  <c r="H24" i="4"/>
  <c r="J33" i="4"/>
  <c r="G34" i="4"/>
  <c r="K70" i="4"/>
  <c r="G67" i="4"/>
  <c r="G69" i="4"/>
  <c r="G70" i="4" s="1"/>
  <c r="H79" i="4"/>
  <c r="H80" i="4" s="1"/>
  <c r="K80" i="4" s="1"/>
  <c r="G83" i="4"/>
  <c r="K96" i="4"/>
  <c r="M96" i="4" s="1"/>
  <c r="H113" i="4"/>
  <c r="K120" i="4"/>
  <c r="N120" i="4" s="1"/>
  <c r="K153" i="4"/>
  <c r="N153" i="4" s="1"/>
  <c r="H26" i="4"/>
  <c r="K25" i="4"/>
  <c r="H106" i="4"/>
  <c r="J143" i="4"/>
  <c r="J144" i="4"/>
  <c r="K144" i="4" s="1"/>
  <c r="N144" i="4" s="1"/>
  <c r="I47" i="4"/>
  <c r="H47" i="4"/>
  <c r="I34" i="4"/>
  <c r="K34" i="4" s="1"/>
  <c r="I33" i="4"/>
  <c r="K33" i="4" s="1"/>
  <c r="N33" i="4" s="1"/>
  <c r="J50" i="4"/>
  <c r="J51" i="4" s="1"/>
  <c r="J49" i="4"/>
  <c r="I75" i="4"/>
  <c r="H75" i="4"/>
  <c r="G75" i="4"/>
  <c r="K41" i="4"/>
  <c r="M41" i="4" s="1"/>
  <c r="J52" i="4"/>
  <c r="K56" i="4"/>
  <c r="M56" i="4" s="1"/>
  <c r="G58" i="4"/>
  <c r="I65" i="4"/>
  <c r="H65" i="4"/>
  <c r="G65" i="4"/>
  <c r="J75" i="4"/>
  <c r="I26" i="4"/>
  <c r="I27" i="4" s="1"/>
  <c r="H30" i="4"/>
  <c r="I35" i="4"/>
  <c r="I36" i="4" s="1"/>
  <c r="G47" i="4"/>
  <c r="I49" i="4"/>
  <c r="K49" i="4" s="1"/>
  <c r="N49" i="4" s="1"/>
  <c r="G51" i="4"/>
  <c r="H58" i="4"/>
  <c r="H57" i="4"/>
  <c r="J59" i="4"/>
  <c r="J60" i="4" s="1"/>
  <c r="J65" i="4"/>
  <c r="K68" i="4"/>
  <c r="M68" i="4" s="1"/>
  <c r="K76" i="4"/>
  <c r="M76" i="4" s="1"/>
  <c r="I88" i="4"/>
  <c r="I87" i="4"/>
  <c r="K101" i="4"/>
  <c r="N101" i="4" s="1"/>
  <c r="H105" i="4"/>
  <c r="H115" i="4"/>
  <c r="K115" i="4" s="1"/>
  <c r="N115" i="4" s="1"/>
  <c r="G122" i="4"/>
  <c r="H28" i="4"/>
  <c r="K28" i="4" s="1"/>
  <c r="K42" i="4"/>
  <c r="N42" i="4" s="1"/>
  <c r="G57" i="4"/>
  <c r="K73" i="4"/>
  <c r="N73" i="4" s="1"/>
  <c r="K78" i="4"/>
  <c r="M78" i="4" s="1"/>
  <c r="K84" i="4"/>
  <c r="M84" i="4" s="1"/>
  <c r="K121" i="4"/>
  <c r="M121" i="4" s="1"/>
  <c r="J142" i="4"/>
  <c r="K20" i="4"/>
  <c r="N20" i="4" s="1"/>
  <c r="N156" i="4" s="1"/>
  <c r="M157" i="4" s="1"/>
  <c r="M158" i="4" s="1"/>
  <c r="I29" i="4"/>
  <c r="I30" i="4" s="1"/>
  <c r="J35" i="4"/>
  <c r="J36" i="4" s="1"/>
  <c r="J47" i="4"/>
  <c r="K66" i="4"/>
  <c r="M66" i="4" s="1"/>
  <c r="K113" i="4"/>
  <c r="N113" i="4" s="1"/>
  <c r="G131" i="4"/>
  <c r="I130" i="4"/>
  <c r="I131" i="4" s="1"/>
  <c r="K155" i="4"/>
  <c r="N155" i="4" s="1"/>
  <c r="K32" i="4"/>
  <c r="M32" i="4" s="1"/>
  <c r="J39" i="4"/>
  <c r="K39" i="4" s="1"/>
  <c r="N39" i="4" s="1"/>
  <c r="K48" i="4"/>
  <c r="M48" i="4" s="1"/>
  <c r="J55" i="4"/>
  <c r="K55" i="4" s="1"/>
  <c r="N55" i="4" s="1"/>
  <c r="I59" i="4"/>
  <c r="I60" i="4" s="1"/>
  <c r="H67" i="4"/>
  <c r="K72" i="4"/>
  <c r="M72" i="4" s="1"/>
  <c r="H77" i="4"/>
  <c r="J89" i="4"/>
  <c r="J93" i="4"/>
  <c r="K93" i="4" s="1"/>
  <c r="N93" i="4" s="1"/>
  <c r="I104" i="4"/>
  <c r="K104" i="4" s="1"/>
  <c r="M104" i="4" s="1"/>
  <c r="I114" i="4"/>
  <c r="I115" i="4" s="1"/>
  <c r="I116" i="4" s="1"/>
  <c r="J122" i="4"/>
  <c r="J123" i="4" s="1"/>
  <c r="K123" i="4" s="1"/>
  <c r="N123" i="4" s="1"/>
  <c r="H128" i="4"/>
  <c r="G129" i="4"/>
  <c r="J134" i="4"/>
  <c r="H135" i="4"/>
  <c r="I138" i="4"/>
  <c r="K138" i="4" s="1"/>
  <c r="N138" i="4" s="1"/>
  <c r="K141" i="4"/>
  <c r="M141" i="4" s="1"/>
  <c r="I142" i="4"/>
  <c r="K142" i="4" s="1"/>
  <c r="N142" i="4" s="1"/>
  <c r="H143" i="4"/>
  <c r="H148" i="4"/>
  <c r="H152" i="4"/>
  <c r="I67" i="4"/>
  <c r="I77" i="4"/>
  <c r="K127" i="4"/>
  <c r="M127" i="4" s="1"/>
  <c r="I128" i="4"/>
  <c r="H129" i="4"/>
  <c r="I135" i="4"/>
  <c r="I143" i="4"/>
  <c r="I148" i="4"/>
  <c r="I152" i="4"/>
  <c r="K154" i="4"/>
  <c r="M154" i="4" s="1"/>
  <c r="K143" i="4" l="1"/>
  <c r="N143" i="4" s="1"/>
  <c r="K36" i="4"/>
  <c r="N36" i="4" s="1"/>
  <c r="K69" i="4"/>
  <c r="N69" i="4" s="1"/>
  <c r="K148" i="4"/>
  <c r="N148" i="4" s="1"/>
  <c r="K87" i="4"/>
  <c r="N87" i="4" s="1"/>
  <c r="K24" i="4"/>
  <c r="N24" i="4" s="1"/>
  <c r="K83" i="4"/>
  <c r="N83" i="4" s="1"/>
  <c r="K52" i="4"/>
  <c r="K116" i="4"/>
  <c r="N116" i="4" s="1"/>
  <c r="K134" i="4"/>
  <c r="N134" i="4" s="1"/>
  <c r="K77" i="4"/>
  <c r="N77" i="4" s="1"/>
  <c r="K152" i="4"/>
  <c r="N152" i="4" s="1"/>
  <c r="K129" i="4"/>
  <c r="N129" i="4" s="1"/>
  <c r="K128" i="4"/>
  <c r="N128" i="4" s="1"/>
  <c r="K67" i="4"/>
  <c r="N67" i="4" s="1"/>
  <c r="K47" i="4"/>
  <c r="N47" i="4" s="1"/>
  <c r="I105" i="4"/>
  <c r="I106" i="4" s="1"/>
  <c r="K106" i="4" s="1"/>
  <c r="N106" i="4" s="1"/>
  <c r="K88" i="4"/>
  <c r="M88" i="4" s="1"/>
  <c r="I89" i="4"/>
  <c r="K30" i="4"/>
  <c r="N30" i="4" s="1"/>
  <c r="H27" i="4"/>
  <c r="K27" i="4" s="1"/>
  <c r="N27" i="4" s="1"/>
  <c r="K26" i="4"/>
  <c r="H61" i="4"/>
  <c r="H62" i="4" s="1"/>
  <c r="H59" i="4"/>
  <c r="H60" i="4" s="1"/>
  <c r="K135" i="4"/>
  <c r="N135" i="4" s="1"/>
  <c r="K130" i="4"/>
  <c r="M130" i="4" s="1"/>
  <c r="K57" i="4"/>
  <c r="N57" i="4" s="1"/>
  <c r="K51" i="4"/>
  <c r="N51" i="4" s="1"/>
  <c r="G59" i="4"/>
  <c r="G61" i="4"/>
  <c r="K58" i="4"/>
  <c r="M58" i="4" s="1"/>
  <c r="K50" i="4"/>
  <c r="M50" i="4" s="1"/>
  <c r="K29" i="4"/>
  <c r="M29" i="4" s="1"/>
  <c r="K131" i="4"/>
  <c r="N131" i="4" s="1"/>
  <c r="K122" i="4"/>
  <c r="N122" i="4" s="1"/>
  <c r="K35" i="4"/>
  <c r="M35" i="4" s="1"/>
  <c r="K65" i="4"/>
  <c r="N65" i="4" s="1"/>
  <c r="K114" i="4"/>
  <c r="M114" i="4" s="1"/>
  <c r="K75" i="4"/>
  <c r="N75" i="4" s="1"/>
  <c r="G62" i="4" l="1"/>
  <c r="K62" i="4" s="1"/>
  <c r="N62" i="4" s="1"/>
  <c r="K61" i="4"/>
  <c r="M61" i="4" s="1"/>
  <c r="I90" i="4"/>
  <c r="K90" i="4" s="1"/>
  <c r="K89" i="4"/>
  <c r="N89" i="4" s="1"/>
  <c r="K59" i="4"/>
  <c r="N59" i="4" s="1"/>
  <c r="G60" i="4"/>
  <c r="K60" i="4" s="1"/>
  <c r="K105" i="4"/>
  <c r="N105" i="4" s="1"/>
  <c r="F116" i="2" l="1"/>
  <c r="H115" i="2"/>
  <c r="H116" i="2" s="1"/>
  <c r="F114" i="2"/>
  <c r="I113" i="2"/>
  <c r="I115" i="2" s="1"/>
  <c r="H113" i="2"/>
  <c r="I112" i="2"/>
  <c r="H112" i="2"/>
  <c r="F112" i="2"/>
  <c r="K111" i="2"/>
  <c r="I110" i="2"/>
  <c r="I109" i="2"/>
  <c r="H109" i="2"/>
  <c r="H110" i="2" s="1"/>
  <c r="F105" i="2"/>
  <c r="H102" i="2"/>
  <c r="H104" i="2" s="1"/>
  <c r="F101" i="2"/>
  <c r="I101" i="2" s="1"/>
  <c r="K100" i="2"/>
  <c r="I102" i="2"/>
  <c r="I21" i="2"/>
  <c r="H21" i="2"/>
  <c r="K110" i="2" l="1"/>
  <c r="K112" i="2"/>
  <c r="H114" i="2"/>
  <c r="K114" i="2" s="1"/>
  <c r="I116" i="2"/>
  <c r="I117" i="2" s="1"/>
  <c r="K115" i="2"/>
  <c r="I114" i="2"/>
  <c r="K113" i="2"/>
  <c r="H117" i="2"/>
  <c r="K109" i="2"/>
  <c r="H101" i="2"/>
  <c r="K101" i="2" s="1"/>
  <c r="H103" i="2"/>
  <c r="H106" i="2"/>
  <c r="I103" i="2"/>
  <c r="I104" i="2"/>
  <c r="I105" i="2" s="1"/>
  <c r="I106" i="2" s="1"/>
  <c r="H105" i="2"/>
  <c r="K102" i="2"/>
  <c r="K152" i="2"/>
  <c r="K148" i="2"/>
  <c r="K138" i="2"/>
  <c r="K126" i="2"/>
  <c r="K120" i="2"/>
  <c r="K92" i="2"/>
  <c r="K82" i="2"/>
  <c r="K74" i="2"/>
  <c r="K64" i="2"/>
  <c r="K54" i="2"/>
  <c r="K46" i="2"/>
  <c r="K38" i="2"/>
  <c r="K21" i="2"/>
  <c r="K19" i="2"/>
  <c r="I28" i="3"/>
  <c r="F28" i="3"/>
  <c r="I24" i="3"/>
  <c r="F24" i="3"/>
  <c r="I20" i="3"/>
  <c r="F20" i="3"/>
  <c r="K116" i="2" l="1"/>
  <c r="K106" i="2"/>
  <c r="K117" i="2"/>
  <c r="K103" i="2"/>
  <c r="K104" i="2"/>
  <c r="K105" i="2"/>
  <c r="G72" i="2"/>
  <c r="J40" i="2"/>
  <c r="J154" i="2"/>
  <c r="I154" i="2"/>
  <c r="H154" i="2"/>
  <c r="G155" i="2"/>
  <c r="J150" i="2"/>
  <c r="I150" i="2"/>
  <c r="G150" i="2"/>
  <c r="F153" i="2"/>
  <c r="G153" i="2" s="1"/>
  <c r="F149" i="2"/>
  <c r="H150" i="2"/>
  <c r="J142" i="2"/>
  <c r="J145" i="2" s="1"/>
  <c r="I19" i="3" s="1"/>
  <c r="I142" i="2"/>
  <c r="I145" i="2" s="1"/>
  <c r="H19" i="3" s="1"/>
  <c r="H142" i="2"/>
  <c r="H144" i="2" s="1"/>
  <c r="G142" i="2"/>
  <c r="K142" i="2" l="1"/>
  <c r="G145" i="2"/>
  <c r="H145" i="2"/>
  <c r="G19" i="3" s="1"/>
  <c r="G144" i="2"/>
  <c r="K150" i="2"/>
  <c r="F19" i="3"/>
  <c r="I144" i="2"/>
  <c r="H155" i="2"/>
  <c r="H156" i="2" s="1"/>
  <c r="H149" i="2"/>
  <c r="J153" i="2"/>
  <c r="I149" i="2"/>
  <c r="G156" i="2"/>
  <c r="I155" i="2"/>
  <c r="I156" i="2" s="1"/>
  <c r="H153" i="2"/>
  <c r="G154" i="2"/>
  <c r="K154" i="2" s="1"/>
  <c r="J155" i="2"/>
  <c r="J156" i="2" s="1"/>
  <c r="I153" i="2"/>
  <c r="J149" i="2"/>
  <c r="G149" i="2"/>
  <c r="I23" i="2"/>
  <c r="I24" i="2" s="1"/>
  <c r="J32" i="2"/>
  <c r="J34" i="2" s="1"/>
  <c r="I30" i="3" s="1"/>
  <c r="I32" i="2"/>
  <c r="I35" i="2" s="1"/>
  <c r="H32" i="2"/>
  <c r="G32" i="2"/>
  <c r="J19" i="3" l="1"/>
  <c r="K145" i="2"/>
  <c r="G35" i="2"/>
  <c r="K32" i="2"/>
  <c r="H34" i="2"/>
  <c r="G30" i="3" s="1"/>
  <c r="K153" i="2"/>
  <c r="K149" i="2"/>
  <c r="K155" i="2"/>
  <c r="K156" i="2"/>
  <c r="G34" i="2"/>
  <c r="I25" i="2"/>
  <c r="I28" i="2" s="1"/>
  <c r="J35" i="2"/>
  <c r="H35" i="2"/>
  <c r="I34" i="2"/>
  <c r="H30" i="3" s="1"/>
  <c r="F143" i="2"/>
  <c r="J144" i="2"/>
  <c r="K144" i="2" s="1"/>
  <c r="F139" i="2"/>
  <c r="F136" i="2"/>
  <c r="F135" i="2"/>
  <c r="F129" i="2"/>
  <c r="F123" i="2"/>
  <c r="F97" i="2"/>
  <c r="F93" i="2"/>
  <c r="F89" i="2"/>
  <c r="F83" i="2"/>
  <c r="F79" i="2"/>
  <c r="F77" i="2"/>
  <c r="F75" i="2"/>
  <c r="F69" i="2"/>
  <c r="F67" i="2"/>
  <c r="F65" i="2"/>
  <c r="F59" i="2"/>
  <c r="F55" i="2"/>
  <c r="F52" i="2"/>
  <c r="F51" i="2"/>
  <c r="F47" i="2"/>
  <c r="F39" i="2"/>
  <c r="F36" i="2"/>
  <c r="F33" i="2"/>
  <c r="H33" i="2" s="1"/>
  <c r="F22" i="2"/>
  <c r="I22" i="2" s="1"/>
  <c r="H24" i="3" s="1"/>
  <c r="F20" i="2"/>
  <c r="G36" i="2" l="1"/>
  <c r="K35" i="2"/>
  <c r="H20" i="2"/>
  <c r="I20" i="2"/>
  <c r="H21" i="3" s="1"/>
  <c r="K34" i="2"/>
  <c r="F30" i="3"/>
  <c r="J30" i="3" s="1"/>
  <c r="I26" i="2"/>
  <c r="I27" i="2" s="1"/>
  <c r="H20" i="3" s="1"/>
  <c r="I29" i="2"/>
  <c r="I30" i="2" s="1"/>
  <c r="H28" i="3" s="1"/>
  <c r="G143" i="2"/>
  <c r="H143" i="2"/>
  <c r="I143" i="2"/>
  <c r="I36" i="2"/>
  <c r="J33" i="2"/>
  <c r="G33" i="2"/>
  <c r="H36" i="2"/>
  <c r="I33" i="2"/>
  <c r="J143" i="2"/>
  <c r="J36" i="2"/>
  <c r="G21" i="3" l="1"/>
  <c r="J21" i="3" s="1"/>
  <c r="K20" i="2"/>
  <c r="K36" i="2"/>
  <c r="K33" i="2"/>
  <c r="K143" i="2"/>
  <c r="J127" i="2" l="1"/>
  <c r="J128" i="2"/>
  <c r="J140" i="2"/>
  <c r="J139" i="2"/>
  <c r="J121" i="2"/>
  <c r="I23" i="3" s="1"/>
  <c r="J122" i="2"/>
  <c r="J123" i="2" s="1"/>
  <c r="J124" i="2" s="1"/>
  <c r="H140" i="2"/>
  <c r="I96" i="2" l="1"/>
  <c r="I94" i="2"/>
  <c r="I95" i="2" s="1"/>
  <c r="I93" i="2"/>
  <c r="H36" i="3" s="1"/>
  <c r="H84" i="2"/>
  <c r="H85" i="2" s="1"/>
  <c r="G22" i="3" s="1"/>
  <c r="H86" i="2"/>
  <c r="H83" i="2"/>
  <c r="G25" i="3" s="1"/>
  <c r="H139" i="2"/>
  <c r="I122" i="2"/>
  <c r="I123" i="2" s="1"/>
  <c r="I124" i="2" s="1"/>
  <c r="I121" i="2"/>
  <c r="I76" i="2"/>
  <c r="I72" i="2"/>
  <c r="I73" i="2" s="1"/>
  <c r="I75" i="2"/>
  <c r="H96" i="2"/>
  <c r="H97" i="2" s="1"/>
  <c r="H98" i="2" s="1"/>
  <c r="H94" i="2"/>
  <c r="H95" i="2" s="1"/>
  <c r="H93" i="2"/>
  <c r="G36" i="3" s="1"/>
  <c r="H40" i="2"/>
  <c r="H41" i="2"/>
  <c r="H42" i="2" s="1"/>
  <c r="G32" i="3" s="1"/>
  <c r="H39" i="2"/>
  <c r="H121" i="2"/>
  <c r="H122" i="2"/>
  <c r="H123" i="2" s="1"/>
  <c r="H124" i="2" s="1"/>
  <c r="I140" i="2"/>
  <c r="I139" i="2"/>
  <c r="I41" i="2"/>
  <c r="I42" i="2" s="1"/>
  <c r="H32" i="3" s="1"/>
  <c r="I40" i="2"/>
  <c r="I39" i="2"/>
  <c r="G121" i="2"/>
  <c r="G122" i="2"/>
  <c r="J129" i="2"/>
  <c r="J130" i="2"/>
  <c r="J131" i="2"/>
  <c r="J132" i="2" s="1"/>
  <c r="J72" i="2"/>
  <c r="J73" i="2" s="1"/>
  <c r="J78" i="2"/>
  <c r="J76" i="2"/>
  <c r="J77" i="2" s="1"/>
  <c r="J75" i="2"/>
  <c r="G76" i="2"/>
  <c r="G78" i="2"/>
  <c r="G75" i="2"/>
  <c r="H127" i="2"/>
  <c r="H128" i="2"/>
  <c r="J94" i="2"/>
  <c r="J95" i="2" s="1"/>
  <c r="J96" i="2"/>
  <c r="J93" i="2"/>
  <c r="I36" i="3" s="1"/>
  <c r="I86" i="2"/>
  <c r="I84" i="2"/>
  <c r="I85" i="2" s="1"/>
  <c r="H22" i="3" s="1"/>
  <c r="I83" i="2"/>
  <c r="H25" i="3" s="1"/>
  <c r="G94" i="2"/>
  <c r="G96" i="2"/>
  <c r="G93" i="2"/>
  <c r="G41" i="2"/>
  <c r="G40" i="2"/>
  <c r="G39" i="2"/>
  <c r="I127" i="2"/>
  <c r="I128" i="2"/>
  <c r="G140" i="2"/>
  <c r="G139" i="2"/>
  <c r="J86" i="2"/>
  <c r="J87" i="2" s="1"/>
  <c r="J84" i="2"/>
  <c r="J88" i="2"/>
  <c r="J83" i="2"/>
  <c r="I25" i="3" s="1"/>
  <c r="H76" i="2"/>
  <c r="H72" i="2"/>
  <c r="H75" i="2"/>
  <c r="G84" i="2"/>
  <c r="G86" i="2"/>
  <c r="G88" i="2"/>
  <c r="G83" i="2"/>
  <c r="G128" i="2"/>
  <c r="G127" i="2"/>
  <c r="K84" i="2" l="1"/>
  <c r="K139" i="2"/>
  <c r="K140" i="2"/>
  <c r="K96" i="2"/>
  <c r="K76" i="2"/>
  <c r="K128" i="2"/>
  <c r="K93" i="2"/>
  <c r="K72" i="2"/>
  <c r="K121" i="2"/>
  <c r="K83" i="2"/>
  <c r="K40" i="2"/>
  <c r="K122" i="2"/>
  <c r="K94" i="2"/>
  <c r="K127" i="2"/>
  <c r="K86" i="2"/>
  <c r="K75" i="2"/>
  <c r="G85" i="2"/>
  <c r="H73" i="2"/>
  <c r="F36" i="3"/>
  <c r="J36" i="3" s="1"/>
  <c r="F25" i="3"/>
  <c r="J25" i="3" s="1"/>
  <c r="G23" i="3"/>
  <c r="F23" i="3"/>
  <c r="H23" i="3"/>
  <c r="I97" i="2"/>
  <c r="I98" i="2" s="1"/>
  <c r="J66" i="2"/>
  <c r="J67" i="2" s="1"/>
  <c r="J65" i="2"/>
  <c r="J56" i="2"/>
  <c r="J55" i="2"/>
  <c r="G66" i="2"/>
  <c r="G65" i="2"/>
  <c r="I66" i="2"/>
  <c r="I65" i="2"/>
  <c r="G42" i="2"/>
  <c r="G98" i="2"/>
  <c r="G97" i="2"/>
  <c r="G123" i="2"/>
  <c r="K123" i="2" s="1"/>
  <c r="G124" i="2"/>
  <c r="K124" i="2" s="1"/>
  <c r="J89" i="2"/>
  <c r="I34" i="3" s="1"/>
  <c r="J90" i="2"/>
  <c r="I29" i="3" s="1"/>
  <c r="J41" i="2"/>
  <c r="J42" i="2" s="1"/>
  <c r="I32" i="3" s="1"/>
  <c r="J39" i="2"/>
  <c r="K39" i="2" s="1"/>
  <c r="G95" i="2"/>
  <c r="K95" i="2" s="1"/>
  <c r="I88" i="2"/>
  <c r="I89" i="2" s="1"/>
  <c r="I87" i="2"/>
  <c r="H130" i="2"/>
  <c r="H129" i="2"/>
  <c r="H131" i="2"/>
  <c r="H132" i="2" s="1"/>
  <c r="G79" i="2"/>
  <c r="G80" i="2"/>
  <c r="I78" i="2"/>
  <c r="I79" i="2" s="1"/>
  <c r="I80" i="2" s="1"/>
  <c r="I77" i="2"/>
  <c r="G73" i="2"/>
  <c r="J80" i="2"/>
  <c r="J79" i="2"/>
  <c r="I56" i="2"/>
  <c r="I57" i="2" s="1"/>
  <c r="I55" i="2"/>
  <c r="I48" i="2"/>
  <c r="I47" i="2"/>
  <c r="G89" i="2"/>
  <c r="G90" i="2"/>
  <c r="J85" i="2"/>
  <c r="J48" i="2"/>
  <c r="J47" i="2"/>
  <c r="H66" i="2"/>
  <c r="H65" i="2"/>
  <c r="G131" i="2"/>
  <c r="G129" i="2"/>
  <c r="G130" i="2"/>
  <c r="G87" i="2"/>
  <c r="H78" i="2"/>
  <c r="H79" i="2" s="1"/>
  <c r="H80" i="2" s="1"/>
  <c r="H77" i="2"/>
  <c r="I129" i="2"/>
  <c r="I131" i="2"/>
  <c r="I132" i="2" s="1"/>
  <c r="I130" i="2"/>
  <c r="J98" i="2"/>
  <c r="J97" i="2"/>
  <c r="G77" i="2"/>
  <c r="H88" i="2"/>
  <c r="H89" i="2" s="1"/>
  <c r="H87" i="2"/>
  <c r="K134" i="2" l="1"/>
  <c r="K97" i="2"/>
  <c r="K129" i="2"/>
  <c r="K131" i="2"/>
  <c r="K80" i="2"/>
  <c r="K42" i="2"/>
  <c r="K73" i="2"/>
  <c r="K41" i="2"/>
  <c r="K85" i="2"/>
  <c r="K79" i="2"/>
  <c r="K65" i="2"/>
  <c r="K77" i="2"/>
  <c r="K87" i="2"/>
  <c r="K89" i="2"/>
  <c r="K66" i="2"/>
  <c r="K88" i="2"/>
  <c r="K130" i="2"/>
  <c r="K98" i="2"/>
  <c r="K78" i="2"/>
  <c r="F32" i="3"/>
  <c r="J32" i="3" s="1"/>
  <c r="F29" i="3"/>
  <c r="I35" i="3"/>
  <c r="F34" i="3"/>
  <c r="F22" i="3"/>
  <c r="H35" i="3"/>
  <c r="H90" i="2"/>
  <c r="G34" i="3"/>
  <c r="I90" i="2"/>
  <c r="H29" i="3" s="1"/>
  <c r="H34" i="3"/>
  <c r="J23" i="3"/>
  <c r="I22" i="3"/>
  <c r="I68" i="2"/>
  <c r="I69" i="2" s="1"/>
  <c r="I70" i="2" s="1"/>
  <c r="I67" i="2"/>
  <c r="G56" i="2"/>
  <c r="G55" i="2"/>
  <c r="G132" i="2"/>
  <c r="K132" i="2" s="1"/>
  <c r="I49" i="2"/>
  <c r="I50" i="2"/>
  <c r="H136" i="2"/>
  <c r="H135" i="2"/>
  <c r="J135" i="2"/>
  <c r="J136" i="2"/>
  <c r="J57" i="2"/>
  <c r="J58" i="2"/>
  <c r="H68" i="2"/>
  <c r="H69" i="2" s="1"/>
  <c r="H70" i="2" s="1"/>
  <c r="H67" i="2"/>
  <c r="G135" i="2"/>
  <c r="G136" i="2"/>
  <c r="H56" i="2"/>
  <c r="H55" i="2"/>
  <c r="G48" i="2"/>
  <c r="G47" i="2"/>
  <c r="I135" i="2"/>
  <c r="I136" i="2"/>
  <c r="J49" i="2"/>
  <c r="J50" i="2"/>
  <c r="J51" i="2" s="1"/>
  <c r="J52" i="2" s="1"/>
  <c r="I58" i="2"/>
  <c r="G68" i="2"/>
  <c r="G67" i="2"/>
  <c r="J68" i="2"/>
  <c r="J69" i="2" s="1"/>
  <c r="H23" i="2"/>
  <c r="K23" i="2" s="1"/>
  <c r="H25" i="2"/>
  <c r="K25" i="2" s="1"/>
  <c r="K56" i="2" l="1"/>
  <c r="K67" i="2"/>
  <c r="K55" i="2"/>
  <c r="J22" i="3"/>
  <c r="J34" i="3"/>
  <c r="K135" i="2"/>
  <c r="K68" i="2"/>
  <c r="K90" i="2"/>
  <c r="K136" i="2"/>
  <c r="F35" i="3"/>
  <c r="G69" i="2"/>
  <c r="K69" i="2" s="1"/>
  <c r="I27" i="3"/>
  <c r="H27" i="3"/>
  <c r="H24" i="2"/>
  <c r="K24" i="2" s="1"/>
  <c r="H29" i="2"/>
  <c r="K29" i="2" s="1"/>
  <c r="I51" i="2"/>
  <c r="G49" i="2"/>
  <c r="G50" i="2"/>
  <c r="J70" i="2"/>
  <c r="J61" i="2"/>
  <c r="J59" i="2"/>
  <c r="G58" i="2"/>
  <c r="G57" i="2"/>
  <c r="I59" i="2"/>
  <c r="I60" i="2" s="1"/>
  <c r="I61" i="2"/>
  <c r="I62" i="2" s="1"/>
  <c r="H26" i="3" s="1"/>
  <c r="H58" i="2"/>
  <c r="H57" i="2"/>
  <c r="H22" i="2"/>
  <c r="K22" i="2" s="1"/>
  <c r="H28" i="2"/>
  <c r="K28" i="2" s="1"/>
  <c r="H26" i="2"/>
  <c r="K26" i="2" s="1"/>
  <c r="K58" i="2" l="1"/>
  <c r="K57" i="2"/>
  <c r="G61" i="2"/>
  <c r="G70" i="2"/>
  <c r="K70" i="2" s="1"/>
  <c r="I52" i="2"/>
  <c r="H33" i="3"/>
  <c r="J60" i="2"/>
  <c r="I31" i="3" s="1"/>
  <c r="I33" i="3"/>
  <c r="H31" i="3"/>
  <c r="G29" i="3"/>
  <c r="J29" i="3" s="1"/>
  <c r="F27" i="3"/>
  <c r="G24" i="3"/>
  <c r="J24" i="3" s="1"/>
  <c r="H61" i="2"/>
  <c r="H62" i="2" s="1"/>
  <c r="G26" i="3" s="1"/>
  <c r="H59" i="2"/>
  <c r="H60" i="2" s="1"/>
  <c r="J62" i="2"/>
  <c r="I26" i="3" s="1"/>
  <c r="H48" i="2"/>
  <c r="K48" i="2" s="1"/>
  <c r="H47" i="2"/>
  <c r="K47" i="2" s="1"/>
  <c r="G59" i="2"/>
  <c r="K59" i="2" s="1"/>
  <c r="G62" i="2"/>
  <c r="G52" i="2"/>
  <c r="G51" i="2"/>
  <c r="H27" i="2"/>
  <c r="K27" i="2" s="1"/>
  <c r="H30" i="2"/>
  <c r="K30" i="2" s="1"/>
  <c r="K61" i="2" l="1"/>
  <c r="K62" i="2"/>
  <c r="F26" i="3"/>
  <c r="J26" i="3" s="1"/>
  <c r="G35" i="3"/>
  <c r="J35" i="3" s="1"/>
  <c r="F33" i="3"/>
  <c r="G28" i="3"/>
  <c r="J28" i="3" s="1"/>
  <c r="G20" i="3"/>
  <c r="J20" i="3" s="1"/>
  <c r="G60" i="2"/>
  <c r="K60" i="2" s="1"/>
  <c r="H49" i="2"/>
  <c r="K49" i="2" s="1"/>
  <c r="H50" i="2"/>
  <c r="K50" i="2" s="1"/>
  <c r="F31" i="3" l="1"/>
  <c r="G27" i="3"/>
  <c r="J27" i="3" s="1"/>
  <c r="H51" i="2"/>
  <c r="K51" i="2" s="1"/>
  <c r="G33" i="3" l="1"/>
  <c r="J33" i="3" s="1"/>
  <c r="H52" i="2"/>
  <c r="K52" i="2" s="1"/>
  <c r="G31" i="3" l="1"/>
  <c r="J31" i="3" s="1"/>
</calcChain>
</file>

<file path=xl/sharedStrings.xml><?xml version="1.0" encoding="utf-8"?>
<sst xmlns="http://schemas.openxmlformats.org/spreadsheetml/2006/main" count="886" uniqueCount="196">
  <si>
    <t>1</t>
  </si>
  <si>
    <t>6.1</t>
  </si>
  <si>
    <t>8.1</t>
  </si>
  <si>
    <t>5</t>
  </si>
  <si>
    <t>6</t>
  </si>
  <si>
    <t>2</t>
  </si>
  <si>
    <t>3</t>
  </si>
  <si>
    <t>4</t>
  </si>
  <si>
    <t>7</t>
  </si>
  <si>
    <t>8</t>
  </si>
  <si>
    <t>12</t>
  </si>
  <si>
    <t>1 этаж</t>
  </si>
  <si>
    <t>2-20 этажи</t>
  </si>
  <si>
    <t>9</t>
  </si>
  <si>
    <t>10</t>
  </si>
  <si>
    <t>Наименование  объекта:</t>
  </si>
  <si>
    <t>"Утверждаю"</t>
  </si>
  <si>
    <t>"Многоэтажные жилые дома"</t>
  </si>
  <si>
    <t>по адресу: Ленинградская область,</t>
  </si>
  <si>
    <t>Директор по строительству</t>
  </si>
  <si>
    <t>Всеволожский муниципальный район, Бугровское</t>
  </si>
  <si>
    <t>ООО "ПрокСтрой"</t>
  </si>
  <si>
    <t>сельское поселение, поселок Бугры, массив Центральное</t>
  </si>
  <si>
    <t>стр.поз. №17, №18, №19, №20, №21, №22, №23</t>
  </si>
  <si>
    <t>_________________Иванов С.В.</t>
  </si>
  <si>
    <t>_____ _________________2024 г.</t>
  </si>
  <si>
    <t>№ п.п.</t>
  </si>
  <si>
    <t>Код</t>
  </si>
  <si>
    <t>Наименование видов работ, конструктивных элементов и материалов</t>
  </si>
  <si>
    <t>Тип пола по проекту</t>
  </si>
  <si>
    <t>Ед.            изм</t>
  </si>
  <si>
    <t>Норма расхода материала на еденицу измерения работ по согласованным нормам списания материалов на предприятии</t>
  </si>
  <si>
    <t>секция 1</t>
  </si>
  <si>
    <t>секция 2</t>
  </si>
  <si>
    <t>Всего</t>
  </si>
  <si>
    <t>Ниже отм. 0.000</t>
  </si>
  <si>
    <t>1.1</t>
  </si>
  <si>
    <t>м2</t>
  </si>
  <si>
    <t>Гидроизоляция полимерцементная (2 слоя) расход 1,6 кг на 1м2 при толщ. слоя 1 мм</t>
  </si>
  <si>
    <t>кг</t>
  </si>
  <si>
    <t>1.2</t>
  </si>
  <si>
    <t>Устройство тепло-, звукоизоляции (с учетом акустического шва, шириной 40 мм)</t>
  </si>
  <si>
    <t>Минераловатные плиты Rockwool Флор Баттс, толщ. 50 мм</t>
  </si>
  <si>
    <t>м3</t>
  </si>
  <si>
    <t>1.3</t>
  </si>
  <si>
    <t xml:space="preserve">Устройство пароизоляции </t>
  </si>
  <si>
    <t>Пленка п/э, толщ. 200 мкм</t>
  </si>
  <si>
    <t>1.4</t>
  </si>
  <si>
    <t>Устройство уклонообразующей бетонной стяжки толщ. 80-100 мм, армированной сеткой Вр-1</t>
  </si>
  <si>
    <t xml:space="preserve">Бетон В15 толщ. 80-100 мм  </t>
  </si>
  <si>
    <r>
      <t>Сетка Вр-1</t>
    </r>
    <r>
      <rPr>
        <i/>
        <sz val="11"/>
        <rFont val="Calibri"/>
        <family val="2"/>
        <charset val="204"/>
      </rPr>
      <t>Ø</t>
    </r>
    <r>
      <rPr>
        <i/>
        <sz val="11"/>
        <rFont val="Times New Roman"/>
        <family val="1"/>
        <charset val="204"/>
      </rPr>
      <t>5 мм яч. 150х150 мм</t>
    </r>
  </si>
  <si>
    <t>Покрытие пола полимерной пропиткой</t>
  </si>
  <si>
    <t>Полимерная пропитка</t>
  </si>
  <si>
    <t>л</t>
  </si>
  <si>
    <t>Входные зоны в подвале (в т.ч. приямки)</t>
  </si>
  <si>
    <t>3.1</t>
  </si>
  <si>
    <t>Устройство уклонообразующей цементно-песчаной стяжки толщ. 40-100 мм, армированной сеткой Вр-1</t>
  </si>
  <si>
    <t>Цементно-песчаный раствор М150</t>
  </si>
  <si>
    <t>Сетка сварная Вр-1 Ø3 мм, яч. 100х100 мм</t>
  </si>
  <si>
    <t>3.2</t>
  </si>
  <si>
    <t>Флюатирование поверхности пола</t>
  </si>
  <si>
    <t>Флюатирующая пропитка (2 слоя)</t>
  </si>
  <si>
    <t>Помещения прокладки инженерных сетей (коридор)</t>
  </si>
  <si>
    <t>4.1</t>
  </si>
  <si>
    <t>Устройство цементно-песчаной стяжки толщ. 30 мм, армированной фиброволокном</t>
  </si>
  <si>
    <t>Фиброволокно</t>
  </si>
  <si>
    <t>Выше отм. 0.000</t>
  </si>
  <si>
    <t xml:space="preserve">Жилые комнаты; Прихожие; Кухни </t>
  </si>
  <si>
    <t>Устройство теплоизоляции</t>
  </si>
  <si>
    <t>Экструдированный пенополистирол, толщ.80 мм</t>
  </si>
  <si>
    <t>Пленка п/э, толщ.200 мкм</t>
  </si>
  <si>
    <t>Устройство цементно-песчаной стяжки толщ. 70 мм, армированной фиброволокном</t>
  </si>
  <si>
    <t xml:space="preserve">Санузлы </t>
  </si>
  <si>
    <t>Устройство цементно-песчаной стяжки, толщ. 70 мм, армированной фиброволокном</t>
  </si>
  <si>
    <t>Обмазочная гидроизоляция</t>
  </si>
  <si>
    <t xml:space="preserve">МОП </t>
  </si>
  <si>
    <t>МОП - с гидроизоляцией</t>
  </si>
  <si>
    <t>Мусоросборные камеры</t>
  </si>
  <si>
    <t>Устройство тепло-, звукоизоляции</t>
  </si>
  <si>
    <t xml:space="preserve"> 6.1</t>
  </si>
  <si>
    <t>Минераловатные плиты Rсж = 30 кПа, толщ. 50 мм</t>
  </si>
  <si>
    <t>Устройство акустического шва (по периметру помещения)</t>
  </si>
  <si>
    <t>м.п</t>
  </si>
  <si>
    <t xml:space="preserve">Звукоизоляционный материал, толщ. 20 мм </t>
  </si>
  <si>
    <t>Цементно-песчаный раствор М200</t>
  </si>
  <si>
    <t>Сетка сварная Вр-1 Ø5 мм, яч. 150х150 мм</t>
  </si>
  <si>
    <t>Лестничные клетки</t>
  </si>
  <si>
    <t xml:space="preserve"> 8.1</t>
  </si>
  <si>
    <t>Экструдированный пенополистирол, толщ.50 мм</t>
  </si>
  <si>
    <t>Устройство звукоизоляции</t>
  </si>
  <si>
    <t>Звукоизоляция ППЭ Рефом, толщ. 10 мм</t>
  </si>
  <si>
    <t>Устройство цементно-песчаной стяжки, толщ. 60 мм, армированной фиброволокном</t>
  </si>
  <si>
    <t>МОП - типовой этаж</t>
  </si>
  <si>
    <t>Лестничные площадки</t>
  </si>
  <si>
    <t>Устройство цементно-песчаной стяжки, толщ. 50 мм, армированной фиброволокном</t>
  </si>
  <si>
    <t>Переходные балконы</t>
  </si>
  <si>
    <t>Устройство цементно-песчаной стяжки, толщ. 30 мм, армированной фиброволокном и последующей пропиткой акриловыми полимерами</t>
  </si>
  <si>
    <t>Акриловая пропитка (2 слоя)</t>
  </si>
  <si>
    <t>Главный инженер</t>
  </si>
  <si>
    <t>Бугаев М.Ю.</t>
  </si>
  <si>
    <t>Начальник ПТО</t>
  </si>
  <si>
    <t>Соломатина С.В.</t>
  </si>
  <si>
    <t>Начальник СДО</t>
  </si>
  <si>
    <t>3-й этап строительства</t>
  </si>
  <si>
    <r>
      <rPr>
        <i/>
        <sz val="12"/>
        <rFont val="Times New Roman"/>
        <family val="1"/>
        <charset val="204"/>
      </rPr>
      <t>Вид работ:</t>
    </r>
    <r>
      <rPr>
        <b/>
        <i/>
        <sz val="12"/>
        <rFont val="Times New Roman"/>
        <family val="1"/>
        <charset val="204"/>
      </rPr>
      <t xml:space="preserve"> Устройство черновых полов 1, 2, 4 и 5 секций (Шифр 14/П-14-V.18-АР, стадия Р)</t>
    </r>
  </si>
  <si>
    <t>секция 3</t>
  </si>
  <si>
    <t>секция 4</t>
  </si>
  <si>
    <t>Устройство полов в подвальных помещениях: Водомерный узел; ИТП; Пожарная насосная; Повысительная насосная (пом. 2.01, 2.05, 2.06, 2.07, 3.04)</t>
  </si>
  <si>
    <t>Технический этаж</t>
  </si>
  <si>
    <t xml:space="preserve">ВЕДОМОСТЬ ОБЪЕМОВ РАБОТ № __ по корпусу №18 </t>
  </si>
  <si>
    <t>7.1</t>
  </si>
  <si>
    <t>7.2</t>
  </si>
  <si>
    <t>5.1</t>
  </si>
  <si>
    <t>2.1</t>
  </si>
  <si>
    <t>2.2</t>
  </si>
  <si>
    <t>4.2</t>
  </si>
  <si>
    <t>4.3</t>
  </si>
  <si>
    <t>5.2</t>
  </si>
  <si>
    <t>5.3</t>
  </si>
  <si>
    <t>5.4</t>
  </si>
  <si>
    <t>6.2</t>
  </si>
  <si>
    <t>6.3</t>
  </si>
  <si>
    <t>7.3</t>
  </si>
  <si>
    <t>7.4</t>
  </si>
  <si>
    <t>8.2</t>
  </si>
  <si>
    <t>8.3</t>
  </si>
  <si>
    <t>8.4</t>
  </si>
  <si>
    <t>9.1</t>
  </si>
  <si>
    <t>9.2</t>
  </si>
  <si>
    <t>9.3</t>
  </si>
  <si>
    <t>11</t>
  </si>
  <si>
    <t>13</t>
  </si>
  <si>
    <t>14</t>
  </si>
  <si>
    <t>14.1</t>
  </si>
  <si>
    <t>15</t>
  </si>
  <si>
    <t>16</t>
  </si>
  <si>
    <t>10.1</t>
  </si>
  <si>
    <t>10.2</t>
  </si>
  <si>
    <t>11.1</t>
  </si>
  <si>
    <t>11.2</t>
  </si>
  <si>
    <t>11.3</t>
  </si>
  <si>
    <t>12.1</t>
  </si>
  <si>
    <t>13.1</t>
  </si>
  <si>
    <t>15.1</t>
  </si>
  <si>
    <t>16.1</t>
  </si>
  <si>
    <t>Наименование  объекта :</t>
  </si>
  <si>
    <t xml:space="preserve"> "Многоэтажные жилые дома"</t>
  </si>
  <si>
    <t>Всеволожский муниципальный район,Бугровское</t>
  </si>
  <si>
    <t>сельское поселение,поселок Бугры, массив Центральное</t>
  </si>
  <si>
    <t xml:space="preserve">стр.поз. №17, №18, №19, №20, №21, №22, "23 (участок №912) </t>
  </si>
  <si>
    <t>ЗАО "РосСтройГруп"</t>
  </si>
  <si>
    <t>ЕИ</t>
  </si>
  <si>
    <t>секция 1-20 этажей</t>
  </si>
  <si>
    <t>секция 2 -18 этажей</t>
  </si>
  <si>
    <t>секция 3 - 19 этажей</t>
  </si>
  <si>
    <t xml:space="preserve">секция 4 - 17 этажей </t>
  </si>
  <si>
    <t>Лимитно-заборная карта № __ по корпусу №18</t>
  </si>
  <si>
    <t>Вид работ: Устройство черновых полов 1, 2, 4 и 5 секций (Шифр 14/П-14-V.18-АР, стадия Р)</t>
  </si>
  <si>
    <t>3 этап строительства</t>
  </si>
  <si>
    <t xml:space="preserve">Акриловая пропитка </t>
  </si>
  <si>
    <t>Бетон В15</t>
  </si>
  <si>
    <t>п.м</t>
  </si>
  <si>
    <t>Сетка Вр-1Ø5 мм яч. 150х150 мм</t>
  </si>
  <si>
    <t>Флюатирующая пропитка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</si>
  <si>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>По 14/П-14-V.18-АР. Стадия РД</t>
    </r>
    <r>
      <rPr>
        <b/>
        <sz val="10"/>
        <rFont val="Times New Roman"/>
        <family val="1"/>
        <charset val="204"/>
      </rPr>
      <t>)</t>
    </r>
  </si>
  <si>
    <t>Орлова М.А.</t>
  </si>
  <si>
    <t>Устройство уклонообразующей цементно-песчаной стяжки, толщ. 60-80 мм, армированной сеткой Вр-1</t>
  </si>
  <si>
    <t xml:space="preserve">Устройство гидроизоляции в 2 слоя </t>
  </si>
  <si>
    <t>Устройство гидроизоляции пола в 2 слоя (с заведением на стену на h=300 мм)</t>
  </si>
  <si>
    <t>НВП-1; диспетчерская</t>
  </si>
  <si>
    <t>10.3</t>
  </si>
  <si>
    <t>по типу 5</t>
  </si>
  <si>
    <t>Санузел НВП-1; диспетчерской</t>
  </si>
  <si>
    <t>Устройство гидроизоляции пола (с заведением на стену на h=300 мм)</t>
  </si>
  <si>
    <t>11.4</t>
  </si>
  <si>
    <t>по типу 6</t>
  </si>
  <si>
    <t>12.2</t>
  </si>
  <si>
    <t>13.2</t>
  </si>
  <si>
    <t>13.3</t>
  </si>
  <si>
    <t>17</t>
  </si>
  <si>
    <t>17.1</t>
  </si>
  <si>
    <t>18</t>
  </si>
  <si>
    <t>18.1</t>
  </si>
  <si>
    <t>18.2</t>
  </si>
  <si>
    <t>по типу 11</t>
  </si>
  <si>
    <t>по типу 12</t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</si>
  <si>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  </t>
    </r>
    <r>
      <rPr>
        <b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 xml:space="preserve">По 14/П-14-V.18-АР </t>
    </r>
    <r>
      <rPr>
        <b/>
        <sz val="10"/>
        <rFont val="Times New Roman"/>
        <family val="1"/>
        <charset val="204"/>
      </rPr>
      <t>ст. Р)</t>
    </r>
  </si>
  <si>
    <t>Примечания</t>
  </si>
  <si>
    <t>*</t>
  </si>
  <si>
    <t>ИТОГО:</t>
  </si>
  <si>
    <t>Всего по КП:</t>
  </si>
  <si>
    <t>Стоимость единицы измерения,  руб.</t>
  </si>
  <si>
    <t>Общая стоимость работ,  руб.</t>
  </si>
  <si>
    <t>Общая стоимость материалов,  руб.</t>
  </si>
  <si>
    <t xml:space="preserve"> в том числе НДС 20%:</t>
  </si>
  <si>
    <t xml:space="preserve">Форма КП по корпусу №18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</si>
</sst>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i/>
      <sz val="11"/>
      <color theme="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3" fillId="0" borderId="0"/>
  </cellStyleXfs>
  <cellXfs count="35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0" borderId="0" xfId="0" applyFont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49" fontId="16" fillId="3" borderId="27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34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28" xfId="0" applyNumberFormat="1" applyFont="1" applyBorder="1" applyAlignment="1">
      <alignment horizontal="center" vertical="center" wrapText="1"/>
    </xf>
    <xf numFmtId="2" fontId="17" fillId="0" borderId="1" xfId="2" applyNumberFormat="1" applyFont="1" applyBorder="1" applyAlignment="1">
      <alignment horizontal="center" vertical="center" wrapText="1"/>
    </xf>
    <xf numFmtId="2" fontId="17" fillId="0" borderId="34" xfId="2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 wrapText="1"/>
    </xf>
    <xf numFmtId="2" fontId="17" fillId="0" borderId="27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2" fontId="17" fillId="0" borderId="40" xfId="0" applyNumberFormat="1" applyFont="1" applyBorder="1" applyAlignment="1">
      <alignment horizontal="center" vertical="center" wrapText="1"/>
    </xf>
    <xf numFmtId="2" fontId="17" fillId="0" borderId="21" xfId="2" applyNumberFormat="1" applyFont="1" applyBorder="1" applyAlignment="1">
      <alignment horizontal="center" vertical="center" wrapText="1"/>
    </xf>
    <xf numFmtId="2" fontId="17" fillId="0" borderId="22" xfId="2" applyNumberFormat="1" applyFont="1" applyBorder="1" applyAlignment="1">
      <alignment horizontal="center" vertical="center" wrapText="1"/>
    </xf>
    <xf numFmtId="2" fontId="17" fillId="0" borderId="23" xfId="2" applyNumberFormat="1" applyFont="1" applyBorder="1" applyAlignment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15" fillId="4" borderId="42" xfId="0" applyFont="1" applyFill="1" applyBorder="1" applyAlignment="1">
      <alignment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vertical="center" wrapText="1"/>
    </xf>
    <xf numFmtId="0" fontId="15" fillId="4" borderId="41" xfId="0" applyFont="1" applyFill="1" applyBorder="1" applyAlignment="1">
      <alignment vertical="center" wrapText="1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right" vertical="center" wrapText="1"/>
    </xf>
    <xf numFmtId="2" fontId="8" fillId="3" borderId="36" xfId="0" applyNumberFormat="1" applyFont="1" applyFill="1" applyBorder="1" applyAlignment="1">
      <alignment horizontal="right" vertical="center" wrapText="1"/>
    </xf>
    <xf numFmtId="2" fontId="8" fillId="3" borderId="37" xfId="0" applyNumberFormat="1" applyFont="1" applyFill="1" applyBorder="1" applyAlignment="1">
      <alignment horizontal="right" vertical="center" wrapText="1"/>
    </xf>
    <xf numFmtId="2" fontId="8" fillId="3" borderId="4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49" fontId="19" fillId="0" borderId="44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49" fontId="6" fillId="5" borderId="36" xfId="0" applyNumberFormat="1" applyFont="1" applyFill="1" applyBorder="1" applyAlignment="1">
      <alignment horizontal="center" vertical="center"/>
    </xf>
    <xf numFmtId="49" fontId="6" fillId="5" borderId="44" xfId="0" applyNumberFormat="1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 wrapText="1"/>
    </xf>
    <xf numFmtId="164" fontId="17" fillId="5" borderId="45" xfId="0" applyNumberFormat="1" applyFont="1" applyFill="1" applyBorder="1" applyAlignment="1">
      <alignment horizontal="center" vertical="center" wrapText="1"/>
    </xf>
    <xf numFmtId="2" fontId="17" fillId="5" borderId="16" xfId="0" applyNumberFormat="1" applyFont="1" applyFill="1" applyBorder="1" applyAlignment="1">
      <alignment horizontal="center" vertical="center" wrapText="1"/>
    </xf>
    <xf numFmtId="2" fontId="17" fillId="5" borderId="3" xfId="0" applyNumberFormat="1" applyFont="1" applyFill="1" applyBorder="1" applyAlignment="1">
      <alignment horizontal="center" vertical="center" wrapText="1"/>
    </xf>
    <xf numFmtId="2" fontId="17" fillId="5" borderId="4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164" fontId="17" fillId="5" borderId="34" xfId="0" applyNumberFormat="1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5" borderId="45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2" fontId="17" fillId="5" borderId="3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6" fillId="5" borderId="34" xfId="0" applyNumberFormat="1" applyFont="1" applyFill="1" applyBorder="1" applyAlignment="1">
      <alignment horizontal="center" vertical="center" wrapText="1"/>
    </xf>
    <xf numFmtId="2" fontId="17" fillId="5" borderId="39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right" vertical="center" wrapText="1"/>
    </xf>
    <xf numFmtId="2" fontId="12" fillId="3" borderId="3" xfId="0" applyNumberFormat="1" applyFont="1" applyFill="1" applyBorder="1" applyAlignment="1">
      <alignment horizontal="right" vertical="center" wrapText="1"/>
    </xf>
    <xf numFmtId="2" fontId="12" fillId="3" borderId="45" xfId="0" applyNumberFormat="1" applyFont="1" applyFill="1" applyBorder="1" applyAlignment="1">
      <alignment horizontal="right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center" vertical="center" wrapText="1"/>
    </xf>
    <xf numFmtId="164" fontId="8" fillId="5" borderId="34" xfId="0" applyNumberFormat="1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164" fontId="6" fillId="5" borderId="45" xfId="0" applyNumberFormat="1" applyFont="1" applyFill="1" applyBorder="1" applyAlignment="1">
      <alignment horizontal="center" vertical="center" wrapText="1"/>
    </xf>
    <xf numFmtId="164" fontId="8" fillId="5" borderId="45" xfId="0" applyNumberFormat="1" applyFont="1" applyFill="1" applyBorder="1" applyAlignment="1">
      <alignment horizontal="center" vertical="center" wrapText="1"/>
    </xf>
    <xf numFmtId="165" fontId="17" fillId="5" borderId="3" xfId="0" applyNumberFormat="1" applyFont="1" applyFill="1" applyBorder="1" applyAlignment="1">
      <alignment horizontal="center" vertical="center" wrapText="1"/>
    </xf>
    <xf numFmtId="165" fontId="17" fillId="5" borderId="34" xfId="0" applyNumberFormat="1" applyFont="1" applyFill="1" applyBorder="1" applyAlignment="1">
      <alignment horizontal="center" vertical="center" wrapText="1"/>
    </xf>
    <xf numFmtId="16" fontId="16" fillId="3" borderId="1" xfId="0" applyNumberFormat="1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49" fontId="20" fillId="5" borderId="44" xfId="0" applyNumberFormat="1" applyFont="1" applyFill="1" applyBorder="1" applyAlignment="1">
      <alignment horizontal="center" vertical="center"/>
    </xf>
    <xf numFmtId="2" fontId="20" fillId="5" borderId="45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left" vertical="center" wrapText="1"/>
    </xf>
    <xf numFmtId="49" fontId="6" fillId="5" borderId="12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2" fontId="17" fillId="5" borderId="46" xfId="0" applyNumberFormat="1" applyFont="1" applyFill="1" applyBorder="1" applyAlignment="1">
      <alignment horizontal="center" vertical="center" wrapText="1"/>
    </xf>
    <xf numFmtId="2" fontId="17" fillId="5" borderId="15" xfId="0" applyNumberFormat="1" applyFont="1" applyFill="1" applyBorder="1" applyAlignment="1">
      <alignment horizontal="center" vertical="center" wrapText="1"/>
    </xf>
    <xf numFmtId="2" fontId="17" fillId="5" borderId="2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vertical="center" wrapText="1"/>
    </xf>
    <xf numFmtId="0" fontId="19" fillId="3" borderId="37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horizontal="center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45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2" fontId="6" fillId="5" borderId="4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2" fontId="3" fillId="3" borderId="45" xfId="0" applyNumberFormat="1" applyFont="1" applyFill="1" applyBorder="1" applyAlignment="1">
      <alignment horizontal="right" vertical="center" wrapText="1"/>
    </xf>
    <xf numFmtId="0" fontId="17" fillId="5" borderId="34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2" fontId="3" fillId="3" borderId="34" xfId="0" applyNumberFormat="1" applyFont="1" applyFill="1" applyBorder="1" applyAlignment="1">
      <alignment horizontal="right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5" borderId="34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2" fontId="17" fillId="0" borderId="23" xfId="0" applyNumberFormat="1" applyFont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 vertical="center"/>
    </xf>
    <xf numFmtId="2" fontId="17" fillId="5" borderId="23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19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0" fontId="21" fillId="0" borderId="4" xfId="0" applyFont="1" applyBorder="1"/>
    <xf numFmtId="0" fontId="19" fillId="0" borderId="4" xfId="0" applyFont="1" applyBorder="1"/>
    <xf numFmtId="0" fontId="21" fillId="0" borderId="0" xfId="0" applyFont="1"/>
    <xf numFmtId="0" fontId="8" fillId="0" borderId="49" xfId="2" applyFont="1" applyBorder="1" applyAlignment="1">
      <alignment horizontal="center" vertical="center" wrapText="1"/>
    </xf>
    <xf numFmtId="2" fontId="17" fillId="0" borderId="49" xfId="2" applyNumberFormat="1" applyFont="1" applyBorder="1" applyAlignment="1">
      <alignment horizontal="center" vertical="center" wrapText="1"/>
    </xf>
    <xf numFmtId="0" fontId="15" fillId="4" borderId="50" xfId="0" applyFont="1" applyFill="1" applyBorder="1" applyAlignment="1">
      <alignment vertical="center" wrapText="1"/>
    </xf>
    <xf numFmtId="2" fontId="8" fillId="3" borderId="44" xfId="0" applyNumberFormat="1" applyFont="1" applyFill="1" applyBorder="1" applyAlignment="1">
      <alignment horizontal="right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2" fontId="17" fillId="5" borderId="4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right" vertical="center" wrapText="1"/>
    </xf>
    <xf numFmtId="2" fontId="17" fillId="5" borderId="0" xfId="0" applyNumberFormat="1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right" vertical="center" wrapText="1"/>
    </xf>
    <xf numFmtId="2" fontId="3" fillId="3" borderId="49" xfId="0" applyNumberFormat="1" applyFont="1" applyFill="1" applyBorder="1" applyAlignment="1">
      <alignment horizontal="right" vertical="center" wrapText="1"/>
    </xf>
    <xf numFmtId="2" fontId="8" fillId="5" borderId="49" xfId="0" applyNumberFormat="1" applyFont="1" applyFill="1" applyBorder="1" applyAlignment="1">
      <alignment horizontal="center" vertical="center" wrapText="1"/>
    </xf>
    <xf numFmtId="2" fontId="17" fillId="5" borderId="49" xfId="0" applyNumberFormat="1" applyFont="1" applyFill="1" applyBorder="1" applyAlignment="1">
      <alignment horizontal="center" vertical="center" wrapText="1"/>
    </xf>
    <xf numFmtId="2" fontId="17" fillId="0" borderId="48" xfId="0" applyNumberFormat="1" applyFont="1" applyBorder="1" applyAlignment="1">
      <alignment horizontal="center" vertical="center"/>
    </xf>
    <xf numFmtId="4" fontId="8" fillId="0" borderId="27" xfId="2" applyNumberFormat="1" applyFont="1" applyBorder="1" applyAlignment="1">
      <alignment horizontal="center" vertical="center" wrapText="1"/>
    </xf>
    <xf numFmtId="4" fontId="8" fillId="0" borderId="49" xfId="2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14" fillId="0" borderId="27" xfId="2" applyNumberFormat="1" applyFont="1" applyBorder="1" applyAlignment="1">
      <alignment horizontal="center" vertical="center" wrapText="1"/>
    </xf>
    <xf numFmtId="4" fontId="14" fillId="0" borderId="49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 wrapText="1"/>
    </xf>
    <xf numFmtId="4" fontId="17" fillId="0" borderId="27" xfId="2" applyNumberFormat="1" applyFont="1" applyBorder="1" applyAlignment="1">
      <alignment horizontal="center" vertical="center" wrapText="1"/>
    </xf>
    <xf numFmtId="4" fontId="17" fillId="0" borderId="49" xfId="2" applyNumberFormat="1" applyFont="1" applyBorder="1" applyAlignment="1">
      <alignment horizontal="center" vertical="center" wrapText="1"/>
    </xf>
    <xf numFmtId="2" fontId="8" fillId="0" borderId="49" xfId="2" applyNumberFormat="1" applyFont="1" applyBorder="1" applyAlignment="1">
      <alignment horizontal="center" vertical="center" wrapText="1"/>
    </xf>
    <xf numFmtId="4" fontId="16" fillId="0" borderId="49" xfId="2" applyNumberFormat="1" applyFont="1" applyBorder="1" applyAlignment="1">
      <alignment horizontal="center" vertical="center" wrapText="1"/>
    </xf>
    <xf numFmtId="2" fontId="8" fillId="0" borderId="27" xfId="2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15" fillId="4" borderId="39" xfId="0" applyFont="1" applyFill="1" applyBorder="1" applyAlignment="1">
      <alignment vertical="center" wrapText="1"/>
    </xf>
    <xf numFmtId="2" fontId="3" fillId="3" borderId="39" xfId="0" applyNumberFormat="1" applyFont="1" applyFill="1" applyBorder="1" applyAlignment="1">
      <alignment horizontal="right" vertical="center" wrapText="1"/>
    </xf>
    <xf numFmtId="2" fontId="8" fillId="5" borderId="39" xfId="0" applyNumberFormat="1" applyFont="1" applyFill="1" applyBorder="1" applyAlignment="1">
      <alignment horizontal="center" vertical="center" wrapText="1"/>
    </xf>
    <xf numFmtId="2" fontId="17" fillId="0" borderId="51" xfId="0" applyNumberFormat="1" applyFont="1" applyBorder="1" applyAlignment="1">
      <alignment horizontal="center" vertical="center"/>
    </xf>
    <xf numFmtId="2" fontId="17" fillId="5" borderId="37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2" fontId="12" fillId="3" borderId="37" xfId="0" applyNumberFormat="1" applyFont="1" applyFill="1" applyBorder="1" applyAlignment="1">
      <alignment horizontal="right" vertical="center" wrapText="1"/>
    </xf>
    <xf numFmtId="2" fontId="17" fillId="5" borderId="14" xfId="0" applyNumberFormat="1" applyFont="1" applyFill="1" applyBorder="1" applyAlignment="1">
      <alignment horizontal="center" vertical="center" wrapText="1"/>
    </xf>
    <xf numFmtId="2" fontId="8" fillId="3" borderId="37" xfId="0" applyNumberFormat="1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right" vertical="center" wrapText="1"/>
    </xf>
    <xf numFmtId="2" fontId="8" fillId="5" borderId="29" xfId="0" applyNumberFormat="1" applyFont="1" applyFill="1" applyBorder="1" applyAlignment="1">
      <alignment horizontal="center" vertical="center" wrapText="1"/>
    </xf>
    <xf numFmtId="2" fontId="8" fillId="5" borderId="28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vertical="center" wrapText="1"/>
    </xf>
    <xf numFmtId="2" fontId="17" fillId="0" borderId="48" xfId="2" applyNumberFormat="1" applyFont="1" applyBorder="1" applyAlignment="1">
      <alignment horizontal="center" vertical="center" wrapText="1"/>
    </xf>
    <xf numFmtId="0" fontId="22" fillId="0" borderId="0" xfId="0" applyFont="1"/>
    <xf numFmtId="0" fontId="19" fillId="0" borderId="33" xfId="2" applyFont="1" applyBorder="1" applyAlignment="1">
      <alignment horizontal="center" vertical="center" wrapText="1"/>
    </xf>
    <xf numFmtId="0" fontId="19" fillId="0" borderId="47" xfId="2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right" vertical="center" wrapText="1"/>
    </xf>
    <xf numFmtId="49" fontId="6" fillId="0" borderId="44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right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 wrapText="1"/>
    </xf>
    <xf numFmtId="49" fontId="16" fillId="3" borderId="27" xfId="0" applyNumberFormat="1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right" vertical="center" wrapText="1"/>
    </xf>
    <xf numFmtId="49" fontId="6" fillId="5" borderId="35" xfId="0" applyNumberFormat="1" applyFont="1" applyFill="1" applyBorder="1" applyAlignment="1">
      <alignment horizontal="center" vertical="center"/>
    </xf>
    <xf numFmtId="49" fontId="6" fillId="5" borderId="33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2" fontId="12" fillId="3" borderId="39" xfId="0" applyNumberFormat="1" applyFont="1" applyFill="1" applyBorder="1" applyAlignment="1">
      <alignment horizontal="right" vertical="center" wrapText="1"/>
    </xf>
    <xf numFmtId="2" fontId="12" fillId="3" borderId="1" xfId="0" applyNumberFormat="1" applyFont="1" applyFill="1" applyBorder="1" applyAlignment="1">
      <alignment horizontal="right" vertical="center" wrapText="1"/>
    </xf>
    <xf numFmtId="2" fontId="12" fillId="3" borderId="29" xfId="0" applyNumberFormat="1" applyFont="1" applyFill="1" applyBorder="1" applyAlignment="1">
      <alignment horizontal="right" vertical="center" wrapText="1"/>
    </xf>
    <xf numFmtId="2" fontId="12" fillId="3" borderId="28" xfId="0" applyNumberFormat="1" applyFont="1" applyFill="1" applyBorder="1" applyAlignment="1">
      <alignment horizontal="right" vertical="center" wrapText="1"/>
    </xf>
    <xf numFmtId="2" fontId="12" fillId="3" borderId="34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16" fontId="16" fillId="5" borderId="3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vertical="top" wrapText="1"/>
      <protection locked="0"/>
    </xf>
    <xf numFmtId="0" fontId="2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6" fillId="0" borderId="1" xfId="0" applyFont="1" applyBorder="1"/>
    <xf numFmtId="0" fontId="27" fillId="0" borderId="33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2" fontId="8" fillId="0" borderId="28" xfId="2" applyNumberFormat="1" applyFont="1" applyBorder="1" applyAlignment="1">
      <alignment horizontal="center" vertical="center" wrapText="1"/>
    </xf>
    <xf numFmtId="2" fontId="17" fillId="0" borderId="28" xfId="2" applyNumberFormat="1" applyFont="1" applyBorder="1" applyAlignment="1">
      <alignment horizontal="center" vertical="center" wrapText="1"/>
    </xf>
    <xf numFmtId="0" fontId="15" fillId="4" borderId="52" xfId="0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horizontal="right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17" fillId="5" borderId="28" xfId="0" applyNumberFormat="1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vertical="center" wrapText="1"/>
    </xf>
    <xf numFmtId="2" fontId="3" fillId="3" borderId="28" xfId="0" applyNumberFormat="1" applyFont="1" applyFill="1" applyBorder="1" applyAlignment="1">
      <alignment horizontal="right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2" fontId="17" fillId="5" borderId="40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6" borderId="1" xfId="0" applyFont="1" applyFill="1" applyBorder="1" applyAlignment="1" applyProtection="1">
      <alignment horizontal="center" vertical="top" wrapText="1"/>
      <protection locked="0"/>
    </xf>
    <xf numFmtId="0" fontId="26" fillId="6" borderId="1" xfId="0" applyFont="1" applyFill="1" applyBorder="1" applyAlignment="1" applyProtection="1">
      <alignment vertical="top" wrapTex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/>
    <xf numFmtId="0" fontId="6" fillId="0" borderId="1" xfId="0" applyFont="1" applyBorder="1" applyAlignment="1" applyProtection="1">
      <alignment vertical="center"/>
      <protection locked="0"/>
    </xf>
    <xf numFmtId="0" fontId="19" fillId="0" borderId="1" xfId="0" applyFont="1" applyBorder="1"/>
    <xf numFmtId="49" fontId="6" fillId="0" borderId="33" xfId="0" applyNumberFormat="1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right" vertical="center" wrapText="1"/>
    </xf>
    <xf numFmtId="0" fontId="17" fillId="0" borderId="33" xfId="0" applyFont="1" applyBorder="1" applyAlignment="1">
      <alignment horizontal="center" vertical="center" wrapText="1"/>
    </xf>
    <xf numFmtId="2" fontId="17" fillId="0" borderId="53" xfId="0" applyNumberFormat="1" applyFont="1" applyBorder="1" applyAlignment="1">
      <alignment horizontal="center" vertical="center" wrapText="1"/>
    </xf>
    <xf numFmtId="2" fontId="17" fillId="0" borderId="35" xfId="2" applyNumberFormat="1" applyFont="1" applyBorder="1" applyAlignment="1">
      <alignment horizontal="center" vertical="center" wrapText="1"/>
    </xf>
    <xf numFmtId="2" fontId="17" fillId="0" borderId="54" xfId="2" applyNumberFormat="1" applyFont="1" applyBorder="1" applyAlignment="1">
      <alignment horizontal="center" vertical="center" wrapText="1"/>
    </xf>
    <xf numFmtId="2" fontId="17" fillId="0" borderId="33" xfId="2" applyNumberFormat="1" applyFont="1" applyBorder="1" applyAlignment="1">
      <alignment horizontal="center" vertical="center" wrapText="1"/>
    </xf>
    <xf numFmtId="2" fontId="17" fillId="0" borderId="53" xfId="2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21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" fontId="30" fillId="0" borderId="27" xfId="2" applyNumberFormat="1" applyFont="1" applyBorder="1" applyAlignment="1">
      <alignment horizontal="center" vertical="center" wrapText="1"/>
    </xf>
    <xf numFmtId="4" fontId="30" fillId="0" borderId="49" xfId="2" applyNumberFormat="1" applyFont="1" applyBorder="1" applyAlignment="1">
      <alignment horizontal="center" vertical="center" wrapText="1"/>
    </xf>
    <xf numFmtId="4" fontId="28" fillId="0" borderId="1" xfId="2" applyNumberFormat="1" applyFont="1" applyBorder="1" applyAlignment="1">
      <alignment horizontal="center" vertical="center" wrapText="1"/>
    </xf>
    <xf numFmtId="2" fontId="28" fillId="0" borderId="28" xfId="2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8" fillId="0" borderId="1" xfId="0" applyFont="1" applyBorder="1"/>
  </cellXfs>
  <cellStyles count="3">
    <cellStyle name="Обычный" xfId="0" builtinId="0"/>
    <cellStyle name="Обычный_нормы 2" xfId="2" xr:uid="{98B64280-B399-4AF3-9DD8-DC5CBA747755}"/>
    <cellStyle name="Финансовый" xfId="1" builtinId="3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F041-EEB7-4922-9A3F-9B2FDFF1E524}">
  <sheetPr>
    <pageSetUpPr fitToPage="1"/>
  </sheetPr>
  <dimension ref="A1:K168"/>
  <sheetViews>
    <sheetView view="pageBreakPreview" topLeftCell="A70" zoomScale="130" zoomScaleNormal="100" zoomScaleSheetLayoutView="130" workbookViewId="0">
      <selection activeCell="A69" sqref="A64:K70"/>
    </sheetView>
  </sheetViews>
  <sheetFormatPr defaultRowHeight="15" x14ac:dyDescent="0.25"/>
  <cols>
    <col min="3" max="3" width="60.28515625" customWidth="1"/>
    <col min="5" max="5" width="8.42578125" customWidth="1"/>
    <col min="6" max="6" width="14.85546875" customWidth="1"/>
    <col min="7" max="7" width="11.28515625" customWidth="1"/>
    <col min="11" max="11" width="16.5703125" customWidth="1"/>
  </cols>
  <sheetData>
    <row r="1" spans="1:11" s="8" customFormat="1" ht="15" customHeight="1" x14ac:dyDescent="0.25">
      <c r="A1" s="3"/>
      <c r="B1" s="3"/>
      <c r="C1" s="3"/>
      <c r="D1" s="4"/>
      <c r="E1" s="3"/>
      <c r="F1" s="5"/>
      <c r="G1" s="6"/>
      <c r="H1" s="6"/>
      <c r="I1" s="6"/>
      <c r="J1" s="7"/>
      <c r="K1" s="7"/>
    </row>
    <row r="2" spans="1:11" s="8" customFormat="1" ht="15" customHeight="1" x14ac:dyDescent="0.25">
      <c r="A2" s="4" t="s">
        <v>15</v>
      </c>
      <c r="B2" s="4"/>
      <c r="C2" s="4"/>
      <c r="D2" s="9"/>
      <c r="E2" s="4"/>
      <c r="F2" s="5"/>
      <c r="G2" s="6"/>
      <c r="H2" s="6"/>
      <c r="I2" s="6"/>
      <c r="J2" s="10"/>
      <c r="K2" s="10" t="s">
        <v>16</v>
      </c>
    </row>
    <row r="3" spans="1:11" s="8" customFormat="1" ht="15" customHeight="1" x14ac:dyDescent="0.25">
      <c r="A3" s="9" t="s">
        <v>17</v>
      </c>
      <c r="B3" s="9"/>
      <c r="C3" s="9"/>
      <c r="D3" s="4"/>
      <c r="E3" s="9"/>
      <c r="F3" s="5"/>
      <c r="G3" s="6"/>
      <c r="H3" s="6"/>
      <c r="I3" s="6"/>
      <c r="K3" s="11"/>
    </row>
    <row r="4" spans="1:11" s="8" customFormat="1" ht="15" customHeight="1" x14ac:dyDescent="0.25">
      <c r="A4" s="4" t="s">
        <v>18</v>
      </c>
      <c r="B4" s="4"/>
      <c r="C4" s="4"/>
      <c r="D4" s="9"/>
      <c r="E4" s="4"/>
      <c r="F4" s="5"/>
      <c r="G4" s="6"/>
      <c r="H4" s="6"/>
      <c r="I4" s="6"/>
      <c r="J4" s="11"/>
      <c r="K4" s="11" t="s">
        <v>19</v>
      </c>
    </row>
    <row r="5" spans="1:11" s="8" customFormat="1" ht="15" customHeight="1" x14ac:dyDescent="0.25">
      <c r="A5" s="9" t="s">
        <v>20</v>
      </c>
      <c r="B5" s="9"/>
      <c r="C5" s="9"/>
      <c r="D5" s="9"/>
      <c r="E5" s="9"/>
      <c r="F5" s="5"/>
      <c r="G5" s="6"/>
      <c r="H5" s="6"/>
      <c r="I5" s="6"/>
      <c r="J5" s="11"/>
      <c r="K5" s="11" t="s">
        <v>21</v>
      </c>
    </row>
    <row r="6" spans="1:11" s="8" customFormat="1" ht="15" customHeight="1" x14ac:dyDescent="0.25">
      <c r="A6" s="9" t="s">
        <v>22</v>
      </c>
      <c r="B6" s="9"/>
      <c r="C6" s="9"/>
      <c r="D6" s="12"/>
      <c r="E6" s="9"/>
      <c r="F6" s="5"/>
      <c r="G6" s="6"/>
      <c r="H6" s="6"/>
      <c r="I6" s="6"/>
      <c r="J6" s="11"/>
      <c r="K6" s="13"/>
    </row>
    <row r="7" spans="1:11" s="8" customFormat="1" ht="15" customHeight="1" x14ac:dyDescent="0.25">
      <c r="A7" s="3" t="s">
        <v>23</v>
      </c>
      <c r="B7" s="3"/>
      <c r="C7" s="3"/>
      <c r="D7" s="14"/>
      <c r="E7" s="3"/>
      <c r="F7" s="5"/>
      <c r="G7" s="6"/>
      <c r="H7" s="6"/>
      <c r="I7" s="6"/>
      <c r="J7" s="11"/>
      <c r="K7" s="11" t="s">
        <v>24</v>
      </c>
    </row>
    <row r="8" spans="1:11" s="8" customFormat="1" ht="15" customHeight="1" x14ac:dyDescent="0.4">
      <c r="A8" s="15"/>
      <c r="B8" s="15"/>
      <c r="C8" s="15"/>
      <c r="D8" s="15"/>
      <c r="E8" s="15"/>
      <c r="F8" s="5"/>
      <c r="G8" s="6"/>
      <c r="H8" s="6"/>
      <c r="I8" s="6"/>
      <c r="J8" s="11"/>
      <c r="K8" s="11"/>
    </row>
    <row r="9" spans="1:11" s="8" customFormat="1" ht="15" customHeight="1" x14ac:dyDescent="0.4">
      <c r="A9" s="15"/>
      <c r="B9" s="15"/>
      <c r="C9" s="15"/>
      <c r="D9" s="3"/>
      <c r="E9" s="15"/>
      <c r="F9" s="5"/>
      <c r="G9" s="6"/>
      <c r="H9" s="6"/>
      <c r="I9" s="6"/>
      <c r="J9" s="11"/>
      <c r="K9" s="11" t="s">
        <v>25</v>
      </c>
    </row>
    <row r="10" spans="1:11" s="8" customFormat="1" ht="15" customHeight="1" x14ac:dyDescent="0.25">
      <c r="A10" s="3"/>
      <c r="B10" s="3"/>
      <c r="C10" s="3"/>
      <c r="D10" s="16"/>
      <c r="E10" s="3"/>
      <c r="F10" s="5"/>
      <c r="G10" s="6"/>
      <c r="H10" s="6"/>
      <c r="I10" s="6"/>
      <c r="J10" s="7"/>
      <c r="K10" s="7"/>
    </row>
    <row r="11" spans="1:11" s="8" customFormat="1" ht="15" customHeight="1" x14ac:dyDescent="0.25">
      <c r="A11" s="261" t="s">
        <v>109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</row>
    <row r="12" spans="1:11" s="8" customFormat="1" ht="15" customHeight="1" x14ac:dyDescent="0.25">
      <c r="A12" s="261"/>
      <c r="B12" s="261"/>
      <c r="C12" s="261"/>
      <c r="D12" s="262"/>
      <c r="E12" s="261"/>
      <c r="F12" s="261"/>
      <c r="G12" s="261"/>
      <c r="H12" s="261"/>
      <c r="I12" s="261"/>
      <c r="J12" s="261"/>
      <c r="K12" s="261"/>
    </row>
    <row r="13" spans="1:11" s="8" customFormat="1" ht="30" customHeight="1" x14ac:dyDescent="0.25">
      <c r="B13" s="262" t="s">
        <v>104</v>
      </c>
      <c r="C13" s="262"/>
      <c r="D13" s="263"/>
      <c r="E13" s="262"/>
      <c r="F13" s="262"/>
      <c r="G13" s="262"/>
      <c r="H13" s="262"/>
      <c r="I13" s="262"/>
      <c r="J13" s="262"/>
      <c r="K13" s="262"/>
    </row>
    <row r="14" spans="1:11" s="8" customFormat="1" ht="18" customHeight="1" thickBot="1" x14ac:dyDescent="0.3">
      <c r="A14" s="17"/>
      <c r="B14" s="18" t="s">
        <v>103</v>
      </c>
      <c r="C14" s="19"/>
      <c r="D14" s="20"/>
      <c r="E14" s="19"/>
      <c r="F14" s="19"/>
      <c r="G14" s="19"/>
      <c r="H14" s="19"/>
      <c r="I14" s="19"/>
      <c r="J14" s="19"/>
      <c r="K14" s="19"/>
    </row>
    <row r="15" spans="1:11" s="6" customFormat="1" ht="40.5" customHeight="1" x14ac:dyDescent="0.25">
      <c r="A15" s="264" t="s">
        <v>26</v>
      </c>
      <c r="B15" s="266" t="s">
        <v>27</v>
      </c>
      <c r="C15" s="268" t="s">
        <v>28</v>
      </c>
      <c r="D15" s="268" t="s">
        <v>29</v>
      </c>
      <c r="E15" s="268" t="s">
        <v>30</v>
      </c>
      <c r="F15" s="270" t="s">
        <v>31</v>
      </c>
      <c r="G15" s="272" t="s">
        <v>186</v>
      </c>
      <c r="H15" s="273"/>
      <c r="I15" s="273"/>
      <c r="J15" s="273"/>
      <c r="K15" s="274"/>
    </row>
    <row r="16" spans="1:11" s="6" customFormat="1" ht="66.75" customHeight="1" thickBot="1" x14ac:dyDescent="0.3">
      <c r="A16" s="265"/>
      <c r="B16" s="267"/>
      <c r="C16" s="269"/>
      <c r="D16" s="269"/>
      <c r="E16" s="269"/>
      <c r="F16" s="271"/>
      <c r="G16" s="21" t="s">
        <v>32</v>
      </c>
      <c r="H16" s="21" t="s">
        <v>33</v>
      </c>
      <c r="I16" s="21" t="s">
        <v>105</v>
      </c>
      <c r="J16" s="21" t="s">
        <v>106</v>
      </c>
      <c r="K16" s="22" t="s">
        <v>34</v>
      </c>
    </row>
    <row r="17" spans="1:11" s="6" customFormat="1" ht="20.100000000000001" customHeight="1" thickBot="1" x14ac:dyDescent="0.3">
      <c r="A17" s="275" t="s">
        <v>35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7"/>
    </row>
    <row r="18" spans="1:11" s="6" customFormat="1" ht="54" customHeight="1" x14ac:dyDescent="0.25">
      <c r="A18" s="23" t="s">
        <v>0</v>
      </c>
      <c r="B18" s="24"/>
      <c r="C18" s="25" t="s">
        <v>107</v>
      </c>
      <c r="D18" s="26"/>
      <c r="E18" s="26"/>
      <c r="F18" s="26"/>
      <c r="G18" s="27"/>
      <c r="H18" s="28"/>
      <c r="I18" s="28"/>
      <c r="J18" s="28"/>
      <c r="K18" s="29"/>
    </row>
    <row r="19" spans="1:11" s="6" customFormat="1" ht="15.75" customHeight="1" x14ac:dyDescent="0.25">
      <c r="A19" s="30" t="s">
        <v>36</v>
      </c>
      <c r="B19" s="31"/>
      <c r="C19" s="32" t="s">
        <v>167</v>
      </c>
      <c r="D19" s="259">
        <v>10</v>
      </c>
      <c r="E19" s="33" t="s">
        <v>37</v>
      </c>
      <c r="F19" s="34"/>
      <c r="G19" s="180"/>
      <c r="H19" s="181">
        <v>164.87</v>
      </c>
      <c r="I19" s="181">
        <v>46.5</v>
      </c>
      <c r="J19" s="182"/>
      <c r="K19" s="37">
        <f>SUM(G19:J19)</f>
        <v>211.37</v>
      </c>
    </row>
    <row r="20" spans="1:11" s="6" customFormat="1" ht="30" x14ac:dyDescent="0.25">
      <c r="A20" s="30"/>
      <c r="B20" s="216"/>
      <c r="C20" s="217" t="s">
        <v>38</v>
      </c>
      <c r="D20" s="256"/>
      <c r="E20" s="38" t="s">
        <v>39</v>
      </c>
      <c r="F20" s="39">
        <f>1.6*5</f>
        <v>8</v>
      </c>
      <c r="G20" s="183"/>
      <c r="H20" s="184">
        <f>F20*H19</f>
        <v>1318.96</v>
      </c>
      <c r="I20" s="187">
        <f>F20*I19</f>
        <v>372</v>
      </c>
      <c r="J20" s="185"/>
      <c r="K20" s="41">
        <f t="shared" ref="K20:K42" si="0">SUM(G20:J20)</f>
        <v>1690.96</v>
      </c>
    </row>
    <row r="21" spans="1:11" s="6" customFormat="1" ht="31.5" x14ac:dyDescent="0.25">
      <c r="A21" s="30" t="s">
        <v>40</v>
      </c>
      <c r="B21" s="31"/>
      <c r="C21" s="32" t="s">
        <v>41</v>
      </c>
      <c r="D21" s="256"/>
      <c r="E21" s="33" t="s">
        <v>37</v>
      </c>
      <c r="F21" s="34"/>
      <c r="G21" s="183"/>
      <c r="H21" s="189">
        <f>H19+(45.5+24.1+38.6+23.3)*0.09</f>
        <v>176.70500000000001</v>
      </c>
      <c r="I21" s="189">
        <f>I19+40.8*0.09</f>
        <v>50.171999999999997</v>
      </c>
      <c r="J21" s="182"/>
      <c r="K21" s="37">
        <f t="shared" si="0"/>
        <v>226.87700000000001</v>
      </c>
    </row>
    <row r="22" spans="1:11" s="6" customFormat="1" ht="30" x14ac:dyDescent="0.25">
      <c r="A22" s="42"/>
      <c r="B22" s="218"/>
      <c r="C22" s="217" t="s">
        <v>42</v>
      </c>
      <c r="D22" s="256"/>
      <c r="E22" s="38" t="s">
        <v>43</v>
      </c>
      <c r="F22" s="44">
        <f>1.02*0.05</f>
        <v>5.1000000000000004E-2</v>
      </c>
      <c r="G22" s="183"/>
      <c r="H22" s="187">
        <f>F22*H21</f>
        <v>9.0119550000000022</v>
      </c>
      <c r="I22" s="187">
        <f>F22*I21</f>
        <v>2.5587719999999998</v>
      </c>
      <c r="J22" s="185"/>
      <c r="K22" s="41">
        <f t="shared" si="0"/>
        <v>11.570727000000002</v>
      </c>
    </row>
    <row r="23" spans="1:11" s="6" customFormat="1" ht="15.75" x14ac:dyDescent="0.25">
      <c r="A23" s="30" t="s">
        <v>44</v>
      </c>
      <c r="B23" s="43"/>
      <c r="C23" s="32" t="s">
        <v>45</v>
      </c>
      <c r="D23" s="256"/>
      <c r="E23" s="33" t="s">
        <v>37</v>
      </c>
      <c r="F23" s="45"/>
      <c r="G23" s="180"/>
      <c r="H23" s="181">
        <f>H19</f>
        <v>164.87</v>
      </c>
      <c r="I23" s="181">
        <f>I19</f>
        <v>46.5</v>
      </c>
      <c r="J23" s="182"/>
      <c r="K23" s="37">
        <f t="shared" si="0"/>
        <v>211.37</v>
      </c>
    </row>
    <row r="24" spans="1:11" s="6" customFormat="1" x14ac:dyDescent="0.25">
      <c r="A24" s="42"/>
      <c r="B24" s="218"/>
      <c r="C24" s="217" t="s">
        <v>46</v>
      </c>
      <c r="D24" s="256"/>
      <c r="E24" s="38" t="s">
        <v>37</v>
      </c>
      <c r="F24" s="39">
        <v>1.1000000000000001</v>
      </c>
      <c r="G24" s="186"/>
      <c r="H24" s="187">
        <f>F24*H23</f>
        <v>181.35700000000003</v>
      </c>
      <c r="I24" s="187">
        <f>I23*F24</f>
        <v>51.150000000000006</v>
      </c>
      <c r="J24" s="185"/>
      <c r="K24" s="41">
        <f t="shared" si="0"/>
        <v>232.50700000000003</v>
      </c>
    </row>
    <row r="25" spans="1:11" s="6" customFormat="1" ht="15.75" x14ac:dyDescent="0.25">
      <c r="A25" s="278" t="s">
        <v>47</v>
      </c>
      <c r="B25" s="43"/>
      <c r="C25" s="280" t="s">
        <v>48</v>
      </c>
      <c r="D25" s="256"/>
      <c r="E25" s="33" t="s">
        <v>37</v>
      </c>
      <c r="F25" s="34"/>
      <c r="G25" s="183"/>
      <c r="H25" s="189">
        <f>H19</f>
        <v>164.87</v>
      </c>
      <c r="I25" s="189">
        <f>I23</f>
        <v>46.5</v>
      </c>
      <c r="J25" s="182"/>
      <c r="K25" s="37">
        <f t="shared" si="0"/>
        <v>211.37</v>
      </c>
    </row>
    <row r="26" spans="1:11" s="6" customFormat="1" ht="15.75" x14ac:dyDescent="0.25">
      <c r="A26" s="279"/>
      <c r="B26" s="43"/>
      <c r="C26" s="281"/>
      <c r="D26" s="256"/>
      <c r="E26" s="33" t="s">
        <v>43</v>
      </c>
      <c r="F26" s="34"/>
      <c r="G26" s="183"/>
      <c r="H26" s="189">
        <f>H25*0.09</f>
        <v>14.8383</v>
      </c>
      <c r="I26" s="189">
        <f>I25*0.09</f>
        <v>4.1849999999999996</v>
      </c>
      <c r="J26" s="182"/>
      <c r="K26" s="37">
        <f t="shared" si="0"/>
        <v>19.023299999999999</v>
      </c>
    </row>
    <row r="27" spans="1:11" s="6" customFormat="1" x14ac:dyDescent="0.25">
      <c r="A27" s="42"/>
      <c r="B27" s="218"/>
      <c r="C27" s="217" t="s">
        <v>49</v>
      </c>
      <c r="D27" s="256"/>
      <c r="E27" s="38" t="s">
        <v>43</v>
      </c>
      <c r="F27" s="46">
        <v>1.0149999999999999</v>
      </c>
      <c r="G27" s="183"/>
      <c r="H27" s="187">
        <f>F27*H26</f>
        <v>15.060874499999999</v>
      </c>
      <c r="I27" s="187">
        <f>I26*F27</f>
        <v>4.247774999999999</v>
      </c>
      <c r="J27" s="185"/>
      <c r="K27" s="41">
        <f t="shared" si="0"/>
        <v>19.308649499999998</v>
      </c>
    </row>
    <row r="28" spans="1:11" s="6" customFormat="1" x14ac:dyDescent="0.25">
      <c r="A28" s="42"/>
      <c r="B28" s="218"/>
      <c r="C28" s="217" t="s">
        <v>50</v>
      </c>
      <c r="D28" s="256"/>
      <c r="E28" s="38" t="s">
        <v>37</v>
      </c>
      <c r="F28" s="39">
        <v>1.1000000000000001</v>
      </c>
      <c r="G28" s="186"/>
      <c r="H28" s="187">
        <f>F28*H25</f>
        <v>181.35700000000003</v>
      </c>
      <c r="I28" s="187">
        <f>F28*I25</f>
        <v>51.150000000000006</v>
      </c>
      <c r="J28" s="185"/>
      <c r="K28" s="41">
        <f t="shared" si="0"/>
        <v>232.50700000000003</v>
      </c>
    </row>
    <row r="29" spans="1:11" s="6" customFormat="1" ht="15.75" x14ac:dyDescent="0.25">
      <c r="A29" s="42"/>
      <c r="B29" s="43"/>
      <c r="C29" s="32" t="s">
        <v>51</v>
      </c>
      <c r="D29" s="256"/>
      <c r="E29" s="33" t="s">
        <v>37</v>
      </c>
      <c r="F29" s="46"/>
      <c r="G29" s="186"/>
      <c r="H29" s="189">
        <f>H23</f>
        <v>164.87</v>
      </c>
      <c r="I29" s="189">
        <f>I25</f>
        <v>46.5</v>
      </c>
      <c r="J29" s="182"/>
      <c r="K29" s="37">
        <f t="shared" si="0"/>
        <v>211.37</v>
      </c>
    </row>
    <row r="30" spans="1:11" s="6" customFormat="1" x14ac:dyDescent="0.25">
      <c r="A30" s="42"/>
      <c r="B30" s="218"/>
      <c r="C30" s="217" t="s">
        <v>52</v>
      </c>
      <c r="D30" s="257"/>
      <c r="E30" s="38" t="s">
        <v>53</v>
      </c>
      <c r="F30" s="39">
        <v>0.5</v>
      </c>
      <c r="G30" s="186"/>
      <c r="H30" s="187">
        <f>F30*H29</f>
        <v>82.435000000000002</v>
      </c>
      <c r="I30" s="187">
        <f>I29*F30</f>
        <v>23.25</v>
      </c>
      <c r="J30" s="185"/>
      <c r="K30" s="41">
        <f t="shared" si="0"/>
        <v>105.685</v>
      </c>
    </row>
    <row r="31" spans="1:11" s="6" customFormat="1" ht="15.75" x14ac:dyDescent="0.25">
      <c r="A31" s="23" t="s">
        <v>5</v>
      </c>
      <c r="B31" s="24"/>
      <c r="C31" s="25" t="s">
        <v>54</v>
      </c>
      <c r="D31" s="47"/>
      <c r="E31" s="26"/>
      <c r="F31" s="26"/>
      <c r="G31" s="48"/>
      <c r="H31" s="26"/>
      <c r="I31" s="26"/>
      <c r="J31" s="26"/>
      <c r="K31" s="49"/>
    </row>
    <row r="32" spans="1:11" s="6" customFormat="1" ht="31.5" x14ac:dyDescent="0.25">
      <c r="A32" s="30" t="s">
        <v>113</v>
      </c>
      <c r="B32" s="43"/>
      <c r="C32" s="32" t="s">
        <v>56</v>
      </c>
      <c r="D32" s="253" t="s">
        <v>184</v>
      </c>
      <c r="E32" s="33" t="s">
        <v>37</v>
      </c>
      <c r="F32" s="34"/>
      <c r="G32" s="35">
        <f>1.06*2.1+1.06*1.9+1.5*0.98</f>
        <v>5.71</v>
      </c>
      <c r="H32" s="164">
        <f>1.5*0.98*2</f>
        <v>2.94</v>
      </c>
      <c r="I32" s="188">
        <f>1.5*0.98+1.06*1.4</f>
        <v>2.9539999999999997</v>
      </c>
      <c r="J32" s="36">
        <f>1.5*0.98+1.06*2.1+1.06*1.9</f>
        <v>5.7100000000000009</v>
      </c>
      <c r="K32" s="37">
        <f>SUM(G32:J32)</f>
        <v>17.314</v>
      </c>
    </row>
    <row r="33" spans="1:11" s="6" customFormat="1" x14ac:dyDescent="0.25">
      <c r="A33" s="42"/>
      <c r="B33" s="218"/>
      <c r="C33" s="217" t="s">
        <v>57</v>
      </c>
      <c r="D33" s="253"/>
      <c r="E33" s="38" t="s">
        <v>43</v>
      </c>
      <c r="F33" s="44">
        <f>1.02*0.07</f>
        <v>7.1400000000000005E-2</v>
      </c>
      <c r="G33" s="50">
        <f>G32*F33</f>
        <v>0.407694</v>
      </c>
      <c r="H33" s="165">
        <f>H32*F33</f>
        <v>0.20991600000000002</v>
      </c>
      <c r="I33" s="165">
        <f>I32*F33</f>
        <v>0.21091560000000001</v>
      </c>
      <c r="J33" s="40">
        <f>J32*F33</f>
        <v>0.40769400000000011</v>
      </c>
      <c r="K33" s="41">
        <f t="shared" si="0"/>
        <v>1.2362196000000001</v>
      </c>
    </row>
    <row r="34" spans="1:11" s="6" customFormat="1" x14ac:dyDescent="0.25">
      <c r="A34" s="42"/>
      <c r="B34" s="218"/>
      <c r="C34" s="217" t="s">
        <v>58</v>
      </c>
      <c r="D34" s="253"/>
      <c r="E34" s="38" t="s">
        <v>37</v>
      </c>
      <c r="F34" s="39">
        <v>1.1000000000000001</v>
      </c>
      <c r="G34" s="50">
        <f>F34*G32</f>
        <v>6.2810000000000006</v>
      </c>
      <c r="H34" s="165">
        <f>H32*F34</f>
        <v>3.234</v>
      </c>
      <c r="I34" s="165">
        <f>I32*F34</f>
        <v>3.2494000000000001</v>
      </c>
      <c r="J34" s="40">
        <f>J32*F34</f>
        <v>6.2810000000000015</v>
      </c>
      <c r="K34" s="41">
        <f t="shared" si="0"/>
        <v>19.045400000000001</v>
      </c>
    </row>
    <row r="35" spans="1:11" s="6" customFormat="1" ht="15.75" x14ac:dyDescent="0.25">
      <c r="A35" s="30" t="s">
        <v>114</v>
      </c>
      <c r="B35" s="43"/>
      <c r="C35" s="32" t="s">
        <v>60</v>
      </c>
      <c r="D35" s="253"/>
      <c r="E35" s="33" t="s">
        <v>37</v>
      </c>
      <c r="F35" s="34"/>
      <c r="G35" s="35">
        <f>G32</f>
        <v>5.71</v>
      </c>
      <c r="H35" s="164">
        <f>H32</f>
        <v>2.94</v>
      </c>
      <c r="I35" s="188">
        <f>I32</f>
        <v>2.9539999999999997</v>
      </c>
      <c r="J35" s="36">
        <f>J32</f>
        <v>5.7100000000000009</v>
      </c>
      <c r="K35" s="37">
        <f t="shared" si="0"/>
        <v>17.314</v>
      </c>
    </row>
    <row r="36" spans="1:11" s="6" customFormat="1" x14ac:dyDescent="0.25">
      <c r="A36" s="42"/>
      <c r="B36" s="218"/>
      <c r="C36" s="217" t="s">
        <v>61</v>
      </c>
      <c r="D36" s="282"/>
      <c r="E36" s="38" t="s">
        <v>53</v>
      </c>
      <c r="F36" s="39">
        <f>0.25*2</f>
        <v>0.5</v>
      </c>
      <c r="G36" s="50">
        <f>G35*F36</f>
        <v>2.855</v>
      </c>
      <c r="H36" s="165">
        <f>H35*F36</f>
        <v>1.47</v>
      </c>
      <c r="I36" s="165">
        <f>I35*F36</f>
        <v>1.4769999999999999</v>
      </c>
      <c r="J36" s="40">
        <f>J35*F36</f>
        <v>2.8550000000000004</v>
      </c>
      <c r="K36" s="41">
        <f t="shared" si="0"/>
        <v>8.657</v>
      </c>
    </row>
    <row r="37" spans="1:11" s="6" customFormat="1" ht="15.75" x14ac:dyDescent="0.25">
      <c r="A37" s="23" t="s">
        <v>6</v>
      </c>
      <c r="B37" s="24"/>
      <c r="C37" s="25" t="s">
        <v>62</v>
      </c>
      <c r="D37" s="47"/>
      <c r="E37" s="26"/>
      <c r="F37" s="26"/>
      <c r="G37" s="48"/>
      <c r="H37" s="26"/>
      <c r="I37" s="26"/>
      <c r="J37" s="26"/>
      <c r="K37" s="49"/>
    </row>
    <row r="38" spans="1:11" s="6" customFormat="1" ht="31.5" x14ac:dyDescent="0.25">
      <c r="A38" s="30" t="s">
        <v>55</v>
      </c>
      <c r="B38" s="43"/>
      <c r="C38" s="32" t="s">
        <v>64</v>
      </c>
      <c r="D38" s="253" t="s">
        <v>185</v>
      </c>
      <c r="E38" s="33" t="s">
        <v>37</v>
      </c>
      <c r="F38" s="34"/>
      <c r="G38" s="190">
        <v>638.04999999999995</v>
      </c>
      <c r="H38" s="188">
        <v>424.3</v>
      </c>
      <c r="I38" s="188">
        <v>561.15</v>
      </c>
      <c r="J38" s="51">
        <v>649.91</v>
      </c>
      <c r="K38" s="37">
        <f t="shared" si="0"/>
        <v>2273.41</v>
      </c>
    </row>
    <row r="39" spans="1:11" s="6" customFormat="1" x14ac:dyDescent="0.25">
      <c r="A39" s="42"/>
      <c r="B39" s="218"/>
      <c r="C39" s="217" t="s">
        <v>57</v>
      </c>
      <c r="D39" s="253"/>
      <c r="E39" s="38" t="s">
        <v>43</v>
      </c>
      <c r="F39" s="44">
        <f>1.02*0.03</f>
        <v>3.0599999999999999E-2</v>
      </c>
      <c r="G39" s="50">
        <f>G38*F39</f>
        <v>19.524329999999999</v>
      </c>
      <c r="H39" s="165">
        <f>H38*F39</f>
        <v>12.98358</v>
      </c>
      <c r="I39" s="165">
        <f>I38*F39</f>
        <v>17.171189999999999</v>
      </c>
      <c r="J39" s="40">
        <f>J38*F39</f>
        <v>19.887245999999998</v>
      </c>
      <c r="K39" s="41">
        <f t="shared" si="0"/>
        <v>69.566345999999982</v>
      </c>
    </row>
    <row r="40" spans="1:11" s="6" customFormat="1" x14ac:dyDescent="0.25">
      <c r="A40" s="42"/>
      <c r="B40" s="218"/>
      <c r="C40" s="217" t="s">
        <v>65</v>
      </c>
      <c r="D40" s="253"/>
      <c r="E40" s="38" t="s">
        <v>39</v>
      </c>
      <c r="F40" s="39">
        <v>0.03</v>
      </c>
      <c r="G40" s="50">
        <f>F40*G38</f>
        <v>19.141499999999997</v>
      </c>
      <c r="H40" s="165">
        <f>H38*F40</f>
        <v>12.728999999999999</v>
      </c>
      <c r="I40" s="165">
        <f>I38*F40</f>
        <v>16.834499999999998</v>
      </c>
      <c r="J40" s="40">
        <f>J38*F40</f>
        <v>19.497299999999999</v>
      </c>
      <c r="K40" s="41">
        <f t="shared" si="0"/>
        <v>68.202299999999994</v>
      </c>
    </row>
    <row r="41" spans="1:11" s="6" customFormat="1" ht="15.75" x14ac:dyDescent="0.25">
      <c r="A41" s="30" t="s">
        <v>59</v>
      </c>
      <c r="B41" s="43"/>
      <c r="C41" s="32" t="s">
        <v>60</v>
      </c>
      <c r="D41" s="253"/>
      <c r="E41" s="33" t="s">
        <v>37</v>
      </c>
      <c r="F41" s="34"/>
      <c r="G41" s="190">
        <f>G38</f>
        <v>638.04999999999995</v>
      </c>
      <c r="H41" s="188">
        <f>H38</f>
        <v>424.3</v>
      </c>
      <c r="I41" s="188">
        <f>I38</f>
        <v>561.15</v>
      </c>
      <c r="J41" s="51">
        <f>J38</f>
        <v>649.91</v>
      </c>
      <c r="K41" s="37">
        <f t="shared" si="0"/>
        <v>2273.41</v>
      </c>
    </row>
    <row r="42" spans="1:11" s="6" customFormat="1" ht="15.75" thickBot="1" x14ac:dyDescent="0.3">
      <c r="A42" s="52"/>
      <c r="B42" s="219"/>
      <c r="C42" s="220" t="s">
        <v>61</v>
      </c>
      <c r="D42" s="254"/>
      <c r="E42" s="53" t="s">
        <v>53</v>
      </c>
      <c r="F42" s="54">
        <v>0.5</v>
      </c>
      <c r="G42" s="50">
        <f>G41*F42</f>
        <v>319.02499999999998</v>
      </c>
      <c r="H42" s="165">
        <f>H41*F42</f>
        <v>212.15</v>
      </c>
      <c r="I42" s="165">
        <f>I41*F42</f>
        <v>280.57499999999999</v>
      </c>
      <c r="J42" s="40">
        <f>J41*F42</f>
        <v>324.95499999999998</v>
      </c>
      <c r="K42" s="41">
        <f t="shared" si="0"/>
        <v>1136.7049999999999</v>
      </c>
    </row>
    <row r="43" spans="1:11" s="6" customFormat="1" ht="20.100000000000001" customHeight="1" thickBot="1" x14ac:dyDescent="0.3">
      <c r="A43" s="211"/>
      <c r="B43" s="212"/>
      <c r="C43" s="211" t="s">
        <v>66</v>
      </c>
      <c r="D43" s="212"/>
      <c r="E43" s="212"/>
      <c r="F43" s="212"/>
      <c r="G43" s="212"/>
      <c r="H43" s="212"/>
      <c r="I43" s="212"/>
      <c r="J43" s="212"/>
      <c r="K43" s="213"/>
    </row>
    <row r="44" spans="1:11" s="6" customFormat="1" ht="18" customHeight="1" x14ac:dyDescent="0.25">
      <c r="A44" s="58"/>
      <c r="B44" s="59"/>
      <c r="C44" s="60" t="s">
        <v>11</v>
      </c>
      <c r="D44" s="59"/>
      <c r="E44" s="59"/>
      <c r="F44" s="61"/>
      <c r="G44" s="62"/>
      <c r="H44" s="166"/>
      <c r="I44" s="166"/>
      <c r="J44" s="59"/>
      <c r="K44" s="61"/>
    </row>
    <row r="45" spans="1:11" s="72" customFormat="1" ht="18" customHeight="1" x14ac:dyDescent="0.25">
      <c r="A45" s="63" t="s">
        <v>7</v>
      </c>
      <c r="B45" s="64"/>
      <c r="C45" s="65" t="s">
        <v>67</v>
      </c>
      <c r="D45" s="66"/>
      <c r="E45" s="67"/>
      <c r="F45" s="68"/>
      <c r="G45" s="69"/>
      <c r="H45" s="167"/>
      <c r="I45" s="167"/>
      <c r="J45" s="70"/>
      <c r="K45" s="71"/>
    </row>
    <row r="46" spans="1:11" s="72" customFormat="1" ht="15.75" customHeight="1" x14ac:dyDescent="0.25">
      <c r="A46" s="30" t="s">
        <v>63</v>
      </c>
      <c r="B46" s="73"/>
      <c r="C46" s="74" t="s">
        <v>68</v>
      </c>
      <c r="D46" s="256">
        <v>1</v>
      </c>
      <c r="E46" s="75" t="s">
        <v>37</v>
      </c>
      <c r="F46" s="76"/>
      <c r="G46" s="191">
        <v>400.35999999999996</v>
      </c>
      <c r="H46" s="77">
        <v>340.93</v>
      </c>
      <c r="I46" s="168">
        <v>358.36</v>
      </c>
      <c r="J46" s="77">
        <v>397.37</v>
      </c>
      <c r="K46" s="78">
        <f t="shared" ref="K46:K52" si="1">SUM(G46:J46)</f>
        <v>1497.02</v>
      </c>
    </row>
    <row r="47" spans="1:11" s="86" customFormat="1" ht="15.75" customHeight="1" x14ac:dyDescent="0.25">
      <c r="A47" s="79"/>
      <c r="B47" s="221"/>
      <c r="C47" s="222" t="s">
        <v>69</v>
      </c>
      <c r="D47" s="256"/>
      <c r="E47" s="81" t="s">
        <v>43</v>
      </c>
      <c r="F47" s="82">
        <f>1.02*0.08</f>
        <v>8.1600000000000006E-2</v>
      </c>
      <c r="G47" s="83">
        <f>F47*G46</f>
        <v>32.669376</v>
      </c>
      <c r="H47" s="196">
        <f>F47*H46</f>
        <v>27.819888000000002</v>
      </c>
      <c r="I47" s="169">
        <f>F47*I46</f>
        <v>29.242176000000004</v>
      </c>
      <c r="J47" s="84">
        <f>F47*J46</f>
        <v>32.425392000000002</v>
      </c>
      <c r="K47" s="85">
        <f t="shared" si="1"/>
        <v>122.15683200000001</v>
      </c>
    </row>
    <row r="48" spans="1:11" s="86" customFormat="1" ht="15.75" customHeight="1" x14ac:dyDescent="0.25">
      <c r="A48" s="30" t="s">
        <v>115</v>
      </c>
      <c r="B48" s="80"/>
      <c r="C48" s="87" t="s">
        <v>45</v>
      </c>
      <c r="D48" s="256"/>
      <c r="E48" s="75" t="s">
        <v>37</v>
      </c>
      <c r="F48" s="88"/>
      <c r="G48" s="89">
        <f>G46</f>
        <v>400.35999999999996</v>
      </c>
      <c r="H48" s="197">
        <f>H46</f>
        <v>340.93</v>
      </c>
      <c r="I48" s="170">
        <f>I46</f>
        <v>358.36</v>
      </c>
      <c r="J48" s="90">
        <f>J46</f>
        <v>397.37</v>
      </c>
      <c r="K48" s="91">
        <f t="shared" si="1"/>
        <v>1497.02</v>
      </c>
    </row>
    <row r="49" spans="1:11" s="86" customFormat="1" ht="15.75" customHeight="1" x14ac:dyDescent="0.25">
      <c r="A49" s="79"/>
      <c r="B49" s="221"/>
      <c r="C49" s="217" t="s">
        <v>70</v>
      </c>
      <c r="D49" s="256"/>
      <c r="E49" s="92" t="s">
        <v>37</v>
      </c>
      <c r="F49" s="93">
        <v>1.1000000000000001</v>
      </c>
      <c r="G49" s="83">
        <f>F49*G48</f>
        <v>440.39600000000002</v>
      </c>
      <c r="H49" s="196">
        <f>F49*H48</f>
        <v>375.02300000000002</v>
      </c>
      <c r="I49" s="169">
        <f>F49*I48</f>
        <v>394.19600000000003</v>
      </c>
      <c r="J49" s="84">
        <f>F49*J48</f>
        <v>437.10700000000003</v>
      </c>
      <c r="K49" s="85">
        <f t="shared" si="1"/>
        <v>1646.7220000000002</v>
      </c>
    </row>
    <row r="50" spans="1:11" s="86" customFormat="1" ht="31.5" customHeight="1" x14ac:dyDescent="0.25">
      <c r="A50" s="30" t="s">
        <v>116</v>
      </c>
      <c r="B50" s="80"/>
      <c r="C50" s="87" t="s">
        <v>71</v>
      </c>
      <c r="D50" s="256"/>
      <c r="E50" s="94" t="s">
        <v>37</v>
      </c>
      <c r="F50" s="95"/>
      <c r="G50" s="194">
        <f>G48</f>
        <v>400.35999999999996</v>
      </c>
      <c r="H50" s="148">
        <f>H48</f>
        <v>340.93</v>
      </c>
      <c r="I50" s="202">
        <f>I48</f>
        <v>358.36</v>
      </c>
      <c r="J50" s="203">
        <f>J48</f>
        <v>397.37</v>
      </c>
      <c r="K50" s="149">
        <f t="shared" si="1"/>
        <v>1497.02</v>
      </c>
    </row>
    <row r="51" spans="1:11" s="86" customFormat="1" ht="15.75" customHeight="1" x14ac:dyDescent="0.25">
      <c r="A51" s="79"/>
      <c r="B51" s="221"/>
      <c r="C51" s="222" t="s">
        <v>57</v>
      </c>
      <c r="D51" s="256"/>
      <c r="E51" s="81" t="s">
        <v>43</v>
      </c>
      <c r="F51" s="82">
        <f>1.02*0.07</f>
        <v>7.1400000000000005E-2</v>
      </c>
      <c r="G51" s="96">
        <f>F51*G50</f>
        <v>28.585704</v>
      </c>
      <c r="H51" s="196">
        <f>F51*H50</f>
        <v>24.342402000000003</v>
      </c>
      <c r="I51" s="169">
        <f>F51*I50</f>
        <v>25.586904000000004</v>
      </c>
      <c r="J51" s="84">
        <f>F51*J50</f>
        <v>28.372218000000004</v>
      </c>
      <c r="K51" s="93">
        <f t="shared" si="1"/>
        <v>106.88722800000001</v>
      </c>
    </row>
    <row r="52" spans="1:11" s="86" customFormat="1" ht="15.75" customHeight="1" x14ac:dyDescent="0.25">
      <c r="A52" s="79"/>
      <c r="B52" s="221"/>
      <c r="C52" s="222" t="s">
        <v>65</v>
      </c>
      <c r="D52" s="257"/>
      <c r="E52" s="81" t="s">
        <v>39</v>
      </c>
      <c r="F52" s="85">
        <f>0.07</f>
        <v>7.0000000000000007E-2</v>
      </c>
      <c r="G52" s="83">
        <f>F52*G50</f>
        <v>28.025199999999998</v>
      </c>
      <c r="H52" s="196">
        <f>F52*H51</f>
        <v>1.7039681400000004</v>
      </c>
      <c r="I52" s="169">
        <f>F52*I51</f>
        <v>1.7910832800000005</v>
      </c>
      <c r="J52" s="84">
        <f>F52*J51</f>
        <v>1.9860552600000005</v>
      </c>
      <c r="K52" s="85">
        <f t="shared" si="1"/>
        <v>33.506306680000002</v>
      </c>
    </row>
    <row r="53" spans="1:11" s="72" customFormat="1" ht="18" customHeight="1" x14ac:dyDescent="0.25">
      <c r="A53" s="63" t="s">
        <v>3</v>
      </c>
      <c r="B53" s="64"/>
      <c r="C53" s="65" t="s">
        <v>72</v>
      </c>
      <c r="D53" s="47"/>
      <c r="E53" s="97"/>
      <c r="F53" s="68"/>
      <c r="G53" s="98"/>
      <c r="H53" s="198"/>
      <c r="I53" s="171"/>
      <c r="J53" s="99"/>
      <c r="K53" s="100"/>
    </row>
    <row r="54" spans="1:11" s="86" customFormat="1" ht="15.75" customHeight="1" x14ac:dyDescent="0.25">
      <c r="A54" s="30" t="s">
        <v>112</v>
      </c>
      <c r="B54" s="80"/>
      <c r="C54" s="101" t="s">
        <v>68</v>
      </c>
      <c r="D54" s="252">
        <v>2</v>
      </c>
      <c r="E54" s="102" t="s">
        <v>37</v>
      </c>
      <c r="F54" s="91"/>
      <c r="G54" s="89">
        <v>51.61999999999999</v>
      </c>
      <c r="H54" s="197">
        <v>46.75</v>
      </c>
      <c r="I54" s="170">
        <v>53.51</v>
      </c>
      <c r="J54" s="90">
        <v>51.620000000000005</v>
      </c>
      <c r="K54" s="91">
        <f t="shared" ref="K54:K62" si="2">SUM(G54:J54)</f>
        <v>203.5</v>
      </c>
    </row>
    <row r="55" spans="1:11" s="86" customFormat="1" ht="15.75" customHeight="1" x14ac:dyDescent="0.25">
      <c r="A55" s="79"/>
      <c r="B55" s="221"/>
      <c r="C55" s="222" t="s">
        <v>69</v>
      </c>
      <c r="D55" s="252"/>
      <c r="E55" s="81" t="s">
        <v>43</v>
      </c>
      <c r="F55" s="82">
        <f>1.02*0.08</f>
        <v>8.1600000000000006E-2</v>
      </c>
      <c r="G55" s="83">
        <f>F55*G54</f>
        <v>4.2121919999999999</v>
      </c>
      <c r="H55" s="196">
        <f>F55*H54</f>
        <v>3.8148000000000004</v>
      </c>
      <c r="I55" s="169">
        <f>F55*I54</f>
        <v>4.3664160000000001</v>
      </c>
      <c r="J55" s="84">
        <f>F55*J54</f>
        <v>4.2121920000000008</v>
      </c>
      <c r="K55" s="85">
        <f t="shared" si="2"/>
        <v>16.605600000000003</v>
      </c>
    </row>
    <row r="56" spans="1:11" s="86" customFormat="1" ht="15.75" customHeight="1" x14ac:dyDescent="0.25">
      <c r="A56" s="30" t="s">
        <v>117</v>
      </c>
      <c r="B56" s="80"/>
      <c r="C56" s="87" t="s">
        <v>45</v>
      </c>
      <c r="D56" s="252"/>
      <c r="E56" s="94" t="s">
        <v>37</v>
      </c>
      <c r="F56" s="103"/>
      <c r="G56" s="89">
        <f>G54</f>
        <v>51.61999999999999</v>
      </c>
      <c r="H56" s="197">
        <f>H54</f>
        <v>46.75</v>
      </c>
      <c r="I56" s="170">
        <f>I54</f>
        <v>53.51</v>
      </c>
      <c r="J56" s="90">
        <f>J54</f>
        <v>51.620000000000005</v>
      </c>
      <c r="K56" s="91">
        <f t="shared" si="2"/>
        <v>203.5</v>
      </c>
    </row>
    <row r="57" spans="1:11" s="86" customFormat="1" ht="15.75" customHeight="1" x14ac:dyDescent="0.25">
      <c r="A57" s="79"/>
      <c r="B57" s="221"/>
      <c r="C57" s="217" t="s">
        <v>70</v>
      </c>
      <c r="D57" s="252"/>
      <c r="E57" s="92" t="s">
        <v>37</v>
      </c>
      <c r="F57" s="93">
        <v>1.1000000000000001</v>
      </c>
      <c r="G57" s="83">
        <f>F57*G56</f>
        <v>56.781999999999996</v>
      </c>
      <c r="H57" s="196">
        <f>F57*H56</f>
        <v>51.425000000000004</v>
      </c>
      <c r="I57" s="169">
        <f>F57*I56</f>
        <v>58.861000000000004</v>
      </c>
      <c r="J57" s="84">
        <f>F57*J56</f>
        <v>56.782000000000011</v>
      </c>
      <c r="K57" s="85">
        <f t="shared" si="2"/>
        <v>223.85</v>
      </c>
    </row>
    <row r="58" spans="1:11" s="86" customFormat="1" ht="31.5" customHeight="1" x14ac:dyDescent="0.25">
      <c r="A58" s="30" t="s">
        <v>118</v>
      </c>
      <c r="B58" s="80"/>
      <c r="C58" s="87" t="s">
        <v>73</v>
      </c>
      <c r="D58" s="252"/>
      <c r="E58" s="94" t="s">
        <v>37</v>
      </c>
      <c r="F58" s="103"/>
      <c r="G58" s="89">
        <f>G56</f>
        <v>51.61999999999999</v>
      </c>
      <c r="H58" s="197">
        <f>H56</f>
        <v>46.75</v>
      </c>
      <c r="I58" s="170">
        <f>I56</f>
        <v>53.51</v>
      </c>
      <c r="J58" s="90">
        <f>J56</f>
        <v>51.620000000000005</v>
      </c>
      <c r="K58" s="91">
        <f t="shared" si="2"/>
        <v>203.5</v>
      </c>
    </row>
    <row r="59" spans="1:11" s="86" customFormat="1" ht="15.75" customHeight="1" x14ac:dyDescent="0.25">
      <c r="A59" s="79"/>
      <c r="B59" s="221"/>
      <c r="C59" s="222" t="s">
        <v>57</v>
      </c>
      <c r="D59" s="252"/>
      <c r="E59" s="81" t="s">
        <v>43</v>
      </c>
      <c r="F59" s="82">
        <f>1.02*0.07</f>
        <v>7.1400000000000005E-2</v>
      </c>
      <c r="G59" s="83">
        <f>F59*G58</f>
        <v>3.6856679999999997</v>
      </c>
      <c r="H59" s="196">
        <f>F59*H58</f>
        <v>3.3379500000000002</v>
      </c>
      <c r="I59" s="169">
        <f>F59*I58</f>
        <v>3.820614</v>
      </c>
      <c r="J59" s="84">
        <f>F59*J58</f>
        <v>3.6856680000000006</v>
      </c>
      <c r="K59" s="85">
        <f t="shared" si="2"/>
        <v>14.529900000000001</v>
      </c>
    </row>
    <row r="60" spans="1:11" s="86" customFormat="1" ht="15.75" customHeight="1" x14ac:dyDescent="0.25">
      <c r="A60" s="79"/>
      <c r="B60" s="221"/>
      <c r="C60" s="222" t="s">
        <v>65</v>
      </c>
      <c r="D60" s="252"/>
      <c r="E60" s="81" t="s">
        <v>39</v>
      </c>
      <c r="F60" s="85">
        <v>7.0000000000000007E-2</v>
      </c>
      <c r="G60" s="83">
        <f>F60*G59</f>
        <v>0.25799675999999999</v>
      </c>
      <c r="H60" s="196">
        <f>F60*H59</f>
        <v>0.23365650000000004</v>
      </c>
      <c r="I60" s="169">
        <f>F60*I59</f>
        <v>0.26744298</v>
      </c>
      <c r="J60" s="84">
        <f>F60*J59</f>
        <v>0.25799676000000005</v>
      </c>
      <c r="K60" s="85">
        <f t="shared" si="2"/>
        <v>1.017093</v>
      </c>
    </row>
    <row r="61" spans="1:11" s="86" customFormat="1" ht="31.5" customHeight="1" x14ac:dyDescent="0.25">
      <c r="A61" s="30" t="s">
        <v>119</v>
      </c>
      <c r="B61" s="80"/>
      <c r="C61" s="204" t="s">
        <v>168</v>
      </c>
      <c r="D61" s="252"/>
      <c r="E61" s="94" t="s">
        <v>37</v>
      </c>
      <c r="F61" s="104"/>
      <c r="G61" s="89">
        <f>G58*1.9*0.3+G56</f>
        <v>81.043399999999977</v>
      </c>
      <c r="H61" s="148">
        <f>H58*2*0.3+H56</f>
        <v>74.8</v>
      </c>
      <c r="I61" s="170">
        <f>I58*2*0.3+I56</f>
        <v>85.615999999999985</v>
      </c>
      <c r="J61" s="148">
        <f>J58*2*0.3+J56</f>
        <v>82.592000000000013</v>
      </c>
      <c r="K61" s="91">
        <f t="shared" si="2"/>
        <v>324.05139999999994</v>
      </c>
    </row>
    <row r="62" spans="1:11" s="86" customFormat="1" ht="15.75" customHeight="1" x14ac:dyDescent="0.25">
      <c r="A62" s="79"/>
      <c r="B62" s="221"/>
      <c r="C62" s="222" t="s">
        <v>74</v>
      </c>
      <c r="D62" s="258"/>
      <c r="E62" s="81" t="s">
        <v>39</v>
      </c>
      <c r="F62" s="85">
        <v>2</v>
      </c>
      <c r="G62" s="83">
        <f>F62*G61</f>
        <v>162.08679999999995</v>
      </c>
      <c r="H62" s="196">
        <f>F62*H61</f>
        <v>149.6</v>
      </c>
      <c r="I62" s="196">
        <f>F62*I61</f>
        <v>171.23199999999997</v>
      </c>
      <c r="J62" s="84">
        <f>F62*J61</f>
        <v>165.18400000000003</v>
      </c>
      <c r="K62" s="85">
        <f t="shared" si="2"/>
        <v>648.10279999999989</v>
      </c>
    </row>
    <row r="63" spans="1:11" s="72" customFormat="1" ht="18" customHeight="1" x14ac:dyDescent="0.25">
      <c r="A63" s="63" t="s">
        <v>4</v>
      </c>
      <c r="B63" s="64"/>
      <c r="C63" s="65" t="s">
        <v>75</v>
      </c>
      <c r="D63" s="47"/>
      <c r="E63" s="97"/>
      <c r="F63" s="68"/>
      <c r="G63" s="98"/>
      <c r="H63" s="198"/>
      <c r="I63" s="171"/>
      <c r="J63" s="99"/>
      <c r="K63" s="100"/>
    </row>
    <row r="64" spans="1:11" s="72" customFormat="1" ht="15.75" customHeight="1" x14ac:dyDescent="0.25">
      <c r="A64" s="30" t="s">
        <v>1</v>
      </c>
      <c r="B64" s="249"/>
      <c r="C64" s="87" t="s">
        <v>68</v>
      </c>
      <c r="D64" s="259">
        <v>5</v>
      </c>
      <c r="E64" s="33" t="s">
        <v>37</v>
      </c>
      <c r="F64" s="250"/>
      <c r="G64" s="194">
        <v>117.75</v>
      </c>
      <c r="H64" s="148">
        <v>130.1</v>
      </c>
      <c r="I64" s="202">
        <v>129.25</v>
      </c>
      <c r="J64" s="203">
        <v>129.34799999999998</v>
      </c>
      <c r="K64" s="149">
        <f t="shared" ref="K64:K70" si="3">SUM(G64:J64)</f>
        <v>506.44799999999998</v>
      </c>
    </row>
    <row r="65" spans="1:11" s="86" customFormat="1" ht="15.75" customHeight="1" x14ac:dyDescent="0.25">
      <c r="A65" s="79"/>
      <c r="B65" s="221"/>
      <c r="C65" s="222" t="s">
        <v>69</v>
      </c>
      <c r="D65" s="256"/>
      <c r="E65" s="81" t="s">
        <v>43</v>
      </c>
      <c r="F65" s="82">
        <f>1.02*0.08</f>
        <v>8.1600000000000006E-2</v>
      </c>
      <c r="G65" s="83">
        <f>F65*G64</f>
        <v>9.6084000000000014</v>
      </c>
      <c r="H65" s="196">
        <f>F65*H64</f>
        <v>10.616160000000001</v>
      </c>
      <c r="I65" s="169">
        <f>F65*I64</f>
        <v>10.546800000000001</v>
      </c>
      <c r="J65" s="84">
        <f>F65*J64</f>
        <v>10.5547968</v>
      </c>
      <c r="K65" s="85">
        <f t="shared" si="3"/>
        <v>41.326156800000007</v>
      </c>
    </row>
    <row r="66" spans="1:11" s="86" customFormat="1" ht="15.75" customHeight="1" x14ac:dyDescent="0.25">
      <c r="A66" s="30" t="s">
        <v>120</v>
      </c>
      <c r="B66" s="80"/>
      <c r="C66" s="87" t="s">
        <v>45</v>
      </c>
      <c r="D66" s="256"/>
      <c r="E66" s="75" t="s">
        <v>37</v>
      </c>
      <c r="F66" s="105"/>
      <c r="G66" s="89">
        <f>G64</f>
        <v>117.75</v>
      </c>
      <c r="H66" s="197">
        <f>H64</f>
        <v>130.1</v>
      </c>
      <c r="I66" s="170">
        <f>I64</f>
        <v>129.25</v>
      </c>
      <c r="J66" s="90">
        <f>J64</f>
        <v>129.34799999999998</v>
      </c>
      <c r="K66" s="91">
        <f t="shared" si="3"/>
        <v>506.44799999999998</v>
      </c>
    </row>
    <row r="67" spans="1:11" s="86" customFormat="1" ht="15.75" customHeight="1" x14ac:dyDescent="0.25">
      <c r="A67" s="79"/>
      <c r="B67" s="221"/>
      <c r="C67" s="217" t="s">
        <v>70</v>
      </c>
      <c r="D67" s="256"/>
      <c r="E67" s="81" t="s">
        <v>37</v>
      </c>
      <c r="F67" s="85">
        <f>1.1</f>
        <v>1.1000000000000001</v>
      </c>
      <c r="G67" s="83">
        <f>F67*G66</f>
        <v>129.52500000000001</v>
      </c>
      <c r="H67" s="196">
        <f>F67*H66</f>
        <v>143.11000000000001</v>
      </c>
      <c r="I67" s="169">
        <f>F67*I66</f>
        <v>142.17500000000001</v>
      </c>
      <c r="J67" s="84">
        <f>F67*J66</f>
        <v>142.28280000000001</v>
      </c>
      <c r="K67" s="85">
        <f t="shared" si="3"/>
        <v>557.09280000000001</v>
      </c>
    </row>
    <row r="68" spans="1:11" s="86" customFormat="1" ht="31.5" customHeight="1" x14ac:dyDescent="0.25">
      <c r="A68" s="30" t="s">
        <v>121</v>
      </c>
      <c r="B68" s="80"/>
      <c r="C68" s="87" t="s">
        <v>73</v>
      </c>
      <c r="D68" s="256"/>
      <c r="E68" s="102" t="s">
        <v>37</v>
      </c>
      <c r="F68" s="106"/>
      <c r="G68" s="89">
        <f>G66</f>
        <v>117.75</v>
      </c>
      <c r="H68" s="197">
        <f>H66</f>
        <v>130.1</v>
      </c>
      <c r="I68" s="170">
        <f>I66</f>
        <v>129.25</v>
      </c>
      <c r="J68" s="90">
        <f>J66</f>
        <v>129.34799999999998</v>
      </c>
      <c r="K68" s="91">
        <f t="shared" si="3"/>
        <v>506.44799999999998</v>
      </c>
    </row>
    <row r="69" spans="1:11" s="86" customFormat="1" ht="15.75" customHeight="1" x14ac:dyDescent="0.25">
      <c r="A69" s="79"/>
      <c r="B69" s="221"/>
      <c r="C69" s="222" t="s">
        <v>57</v>
      </c>
      <c r="D69" s="256"/>
      <c r="E69" s="92" t="s">
        <v>43</v>
      </c>
      <c r="F69" s="88">
        <f>1.02*0.07</f>
        <v>7.1400000000000005E-2</v>
      </c>
      <c r="G69" s="83">
        <f>F69*G68</f>
        <v>8.407350000000001</v>
      </c>
      <c r="H69" s="196">
        <f>F69*H68</f>
        <v>9.2891399999999997</v>
      </c>
      <c r="I69" s="169">
        <f>F69*I68</f>
        <v>9.2284500000000005</v>
      </c>
      <c r="J69" s="84">
        <f>F69*J68</f>
        <v>9.2354471999999994</v>
      </c>
      <c r="K69" s="85">
        <f t="shared" si="3"/>
        <v>36.160387200000002</v>
      </c>
    </row>
    <row r="70" spans="1:11" s="86" customFormat="1" ht="15.75" customHeight="1" x14ac:dyDescent="0.25">
      <c r="A70" s="79"/>
      <c r="B70" s="221"/>
      <c r="C70" s="222" t="s">
        <v>65</v>
      </c>
      <c r="D70" s="257"/>
      <c r="E70" s="92" t="s">
        <v>39</v>
      </c>
      <c r="F70" s="93">
        <v>7.0000000000000007E-2</v>
      </c>
      <c r="G70" s="83">
        <f>F70*G69</f>
        <v>0.58851450000000016</v>
      </c>
      <c r="H70" s="196">
        <f>F70*H69</f>
        <v>0.65023980000000003</v>
      </c>
      <c r="I70" s="169">
        <f>F70*I69</f>
        <v>0.64599150000000005</v>
      </c>
      <c r="J70" s="84">
        <f>F70*J69</f>
        <v>0.64648130400000003</v>
      </c>
      <c r="K70" s="85">
        <f t="shared" si="3"/>
        <v>2.5312271040000001</v>
      </c>
    </row>
    <row r="71" spans="1:11" s="72" customFormat="1" ht="18" customHeight="1" x14ac:dyDescent="0.25">
      <c r="A71" s="63" t="s">
        <v>8</v>
      </c>
      <c r="B71" s="64"/>
      <c r="C71" s="65" t="s">
        <v>76</v>
      </c>
      <c r="D71" s="47"/>
      <c r="E71" s="97"/>
      <c r="F71" s="68"/>
      <c r="G71" s="98"/>
      <c r="H71" s="198"/>
      <c r="I71" s="171"/>
      <c r="J71" s="99"/>
      <c r="K71" s="100"/>
    </row>
    <row r="72" spans="1:11" s="86" customFormat="1" ht="31.5" customHeight="1" x14ac:dyDescent="0.25">
      <c r="A72" s="30" t="s">
        <v>110</v>
      </c>
      <c r="B72" s="80"/>
      <c r="C72" s="101" t="s">
        <v>168</v>
      </c>
      <c r="D72" s="252">
        <v>6</v>
      </c>
      <c r="E72" s="102" t="s">
        <v>37</v>
      </c>
      <c r="F72" s="106"/>
      <c r="G72" s="89">
        <f>G74*1.5*0.3+G74</f>
        <v>5.4085000000000001</v>
      </c>
      <c r="H72" s="197">
        <f t="shared" ref="H72:J72" si="4">H74*1.5*0.3+H74</f>
        <v>5.4085000000000001</v>
      </c>
      <c r="I72" s="170">
        <f t="shared" si="4"/>
        <v>5.4085000000000001</v>
      </c>
      <c r="J72" s="90">
        <f t="shared" si="4"/>
        <v>5.4085000000000001</v>
      </c>
      <c r="K72" s="91">
        <f t="shared" ref="K72:K80" si="5">SUM(G72:J72)</f>
        <v>21.634</v>
      </c>
    </row>
    <row r="73" spans="1:11" s="86" customFormat="1" ht="15.75" customHeight="1" x14ac:dyDescent="0.25">
      <c r="A73" s="79"/>
      <c r="B73" s="221"/>
      <c r="C73" s="217" t="s">
        <v>74</v>
      </c>
      <c r="D73" s="252"/>
      <c r="E73" s="92" t="s">
        <v>39</v>
      </c>
      <c r="F73" s="93">
        <v>2</v>
      </c>
      <c r="G73" s="83">
        <f>F73*G72</f>
        <v>10.817</v>
      </c>
      <c r="H73" s="196">
        <f>F73*H72</f>
        <v>10.817</v>
      </c>
      <c r="I73" s="169">
        <f>F73*I72</f>
        <v>10.817</v>
      </c>
      <c r="J73" s="107">
        <f>F73*J72</f>
        <v>10.817</v>
      </c>
      <c r="K73" s="85">
        <f t="shared" si="5"/>
        <v>43.268000000000001</v>
      </c>
    </row>
    <row r="74" spans="1:11" s="86" customFormat="1" ht="15.75" customHeight="1" x14ac:dyDescent="0.25">
      <c r="A74" s="30" t="s">
        <v>111</v>
      </c>
      <c r="B74" s="80"/>
      <c r="C74" s="101" t="s">
        <v>68</v>
      </c>
      <c r="D74" s="252"/>
      <c r="E74" s="102" t="s">
        <v>37</v>
      </c>
      <c r="F74" s="95"/>
      <c r="G74" s="89">
        <v>3.73</v>
      </c>
      <c r="H74" s="197">
        <v>3.73</v>
      </c>
      <c r="I74" s="170">
        <v>3.73</v>
      </c>
      <c r="J74" s="90">
        <v>3.73</v>
      </c>
      <c r="K74" s="91">
        <f t="shared" si="5"/>
        <v>14.92</v>
      </c>
    </row>
    <row r="75" spans="1:11" s="86" customFormat="1" ht="15.75" customHeight="1" x14ac:dyDescent="0.25">
      <c r="A75" s="79"/>
      <c r="B75" s="221"/>
      <c r="C75" s="222" t="s">
        <v>69</v>
      </c>
      <c r="D75" s="252"/>
      <c r="E75" s="92" t="s">
        <v>43</v>
      </c>
      <c r="F75" s="88">
        <f>1.02*0.08</f>
        <v>8.1600000000000006E-2</v>
      </c>
      <c r="G75" s="83">
        <f>F75*G74</f>
        <v>0.30436800000000003</v>
      </c>
      <c r="H75" s="196">
        <f>F75*H74</f>
        <v>0.30436800000000003</v>
      </c>
      <c r="I75" s="169">
        <f>F75*I74</f>
        <v>0.30436800000000003</v>
      </c>
      <c r="J75" s="84">
        <f>F75*J74</f>
        <v>0.30436800000000003</v>
      </c>
      <c r="K75" s="85">
        <f t="shared" si="5"/>
        <v>1.2174720000000001</v>
      </c>
    </row>
    <row r="76" spans="1:11" s="86" customFormat="1" ht="15.75" customHeight="1" x14ac:dyDescent="0.25">
      <c r="A76" s="30" t="s">
        <v>122</v>
      </c>
      <c r="B76" s="80"/>
      <c r="C76" s="87" t="s">
        <v>45</v>
      </c>
      <c r="D76" s="252"/>
      <c r="E76" s="102" t="s">
        <v>37</v>
      </c>
      <c r="F76" s="108"/>
      <c r="G76" s="89">
        <f>G74</f>
        <v>3.73</v>
      </c>
      <c r="H76" s="197">
        <f t="shared" ref="H76:I76" si="6">H74</f>
        <v>3.73</v>
      </c>
      <c r="I76" s="170">
        <f t="shared" si="6"/>
        <v>3.73</v>
      </c>
      <c r="J76" s="90">
        <f>J74</f>
        <v>3.73</v>
      </c>
      <c r="K76" s="91">
        <f t="shared" si="5"/>
        <v>14.92</v>
      </c>
    </row>
    <row r="77" spans="1:11" s="86" customFormat="1" ht="15.75" customHeight="1" x14ac:dyDescent="0.25">
      <c r="A77" s="79"/>
      <c r="B77" s="221"/>
      <c r="C77" s="217" t="s">
        <v>70</v>
      </c>
      <c r="D77" s="252"/>
      <c r="E77" s="81" t="s">
        <v>37</v>
      </c>
      <c r="F77" s="85">
        <f>1.1</f>
        <v>1.1000000000000001</v>
      </c>
      <c r="G77" s="83">
        <f>F77*G76</f>
        <v>4.1030000000000006</v>
      </c>
      <c r="H77" s="196">
        <f>F77*H76</f>
        <v>4.1030000000000006</v>
      </c>
      <c r="I77" s="169">
        <f>F77*I76</f>
        <v>4.1030000000000006</v>
      </c>
      <c r="J77" s="84">
        <f>F77*J76</f>
        <v>4.1030000000000006</v>
      </c>
      <c r="K77" s="85">
        <f t="shared" si="5"/>
        <v>16.412000000000003</v>
      </c>
    </row>
    <row r="78" spans="1:11" s="86" customFormat="1" ht="31.5" customHeight="1" x14ac:dyDescent="0.25">
      <c r="A78" s="30" t="s">
        <v>123</v>
      </c>
      <c r="B78" s="80"/>
      <c r="C78" s="87" t="s">
        <v>73</v>
      </c>
      <c r="D78" s="252"/>
      <c r="E78" s="102" t="s">
        <v>37</v>
      </c>
      <c r="F78" s="108"/>
      <c r="G78" s="89">
        <f>G74</f>
        <v>3.73</v>
      </c>
      <c r="H78" s="197">
        <f>H76</f>
        <v>3.73</v>
      </c>
      <c r="I78" s="170">
        <f>I76</f>
        <v>3.73</v>
      </c>
      <c r="J78" s="90">
        <f>J74</f>
        <v>3.73</v>
      </c>
      <c r="K78" s="91">
        <f t="shared" si="5"/>
        <v>14.92</v>
      </c>
    </row>
    <row r="79" spans="1:11" s="86" customFormat="1" ht="15.75" customHeight="1" x14ac:dyDescent="0.25">
      <c r="A79" s="79"/>
      <c r="B79" s="221"/>
      <c r="C79" s="222" t="s">
        <v>57</v>
      </c>
      <c r="D79" s="252"/>
      <c r="E79" s="92" t="s">
        <v>43</v>
      </c>
      <c r="F79" s="88">
        <f>1.02*0.07</f>
        <v>7.1400000000000005E-2</v>
      </c>
      <c r="G79" s="83">
        <f>F79*G78</f>
        <v>0.266322</v>
      </c>
      <c r="H79" s="196">
        <f>F79*H78</f>
        <v>0.266322</v>
      </c>
      <c r="I79" s="169">
        <f>F79*I78</f>
        <v>0.266322</v>
      </c>
      <c r="J79" s="84">
        <f>F79*J78</f>
        <v>0.266322</v>
      </c>
      <c r="K79" s="85">
        <f t="shared" si="5"/>
        <v>1.065288</v>
      </c>
    </row>
    <row r="80" spans="1:11" s="86" customFormat="1" ht="15.75" customHeight="1" x14ac:dyDescent="0.25">
      <c r="A80" s="79"/>
      <c r="B80" s="221"/>
      <c r="C80" s="222" t="s">
        <v>65</v>
      </c>
      <c r="D80" s="258"/>
      <c r="E80" s="92" t="s">
        <v>39</v>
      </c>
      <c r="F80" s="93">
        <v>7.0000000000000007E-2</v>
      </c>
      <c r="G80" s="83">
        <f>F80*G78</f>
        <v>0.2611</v>
      </c>
      <c r="H80" s="196">
        <f>F80*H79</f>
        <v>1.8642540000000003E-2</v>
      </c>
      <c r="I80" s="169">
        <f>F80*I79</f>
        <v>1.8642540000000003E-2</v>
      </c>
      <c r="J80" s="84">
        <f>F80*J78</f>
        <v>0.2611</v>
      </c>
      <c r="K80" s="85">
        <f t="shared" si="5"/>
        <v>0.55948507999999997</v>
      </c>
    </row>
    <row r="81" spans="1:11" s="111" customFormat="1" ht="18" customHeight="1" x14ac:dyDescent="0.25">
      <c r="A81" s="63" t="s">
        <v>9</v>
      </c>
      <c r="B81" s="64"/>
      <c r="C81" s="65" t="s">
        <v>77</v>
      </c>
      <c r="D81" s="109"/>
      <c r="E81" s="97"/>
      <c r="F81" s="110"/>
      <c r="G81" s="98"/>
      <c r="H81" s="198"/>
      <c r="I81" s="171"/>
      <c r="J81" s="99"/>
      <c r="K81" s="100"/>
    </row>
    <row r="82" spans="1:11" s="111" customFormat="1" ht="15.75" customHeight="1" x14ac:dyDescent="0.25">
      <c r="A82" s="30" t="s">
        <v>2</v>
      </c>
      <c r="B82" s="112"/>
      <c r="C82" s="32" t="s">
        <v>78</v>
      </c>
      <c r="D82" s="260" t="s">
        <v>79</v>
      </c>
      <c r="E82" s="102" t="s">
        <v>37</v>
      </c>
      <c r="F82" s="113"/>
      <c r="G82" s="89">
        <v>4</v>
      </c>
      <c r="H82" s="197">
        <v>4.22</v>
      </c>
      <c r="I82" s="170">
        <v>4.22</v>
      </c>
      <c r="J82" s="90">
        <v>3.29</v>
      </c>
      <c r="K82" s="91">
        <f t="shared" ref="K82:K90" si="7">SUM(G82:J82)</f>
        <v>15.729999999999997</v>
      </c>
    </row>
    <row r="83" spans="1:11" s="86" customFormat="1" ht="15.75" customHeight="1" x14ac:dyDescent="0.25">
      <c r="A83" s="79"/>
      <c r="B83" s="221"/>
      <c r="C83" s="217" t="s">
        <v>80</v>
      </c>
      <c r="D83" s="252"/>
      <c r="E83" s="92" t="s">
        <v>43</v>
      </c>
      <c r="F83" s="88">
        <f>1.02*0.05</f>
        <v>5.1000000000000004E-2</v>
      </c>
      <c r="G83" s="83">
        <f>F83*G82</f>
        <v>0.20400000000000001</v>
      </c>
      <c r="H83" s="196">
        <f>F83*H82</f>
        <v>0.21521999999999999</v>
      </c>
      <c r="I83" s="169">
        <f>F83*I82</f>
        <v>0.21521999999999999</v>
      </c>
      <c r="J83" s="84">
        <f>F83*J82</f>
        <v>0.16779000000000002</v>
      </c>
      <c r="K83" s="85">
        <f t="shared" si="7"/>
        <v>0.80223</v>
      </c>
    </row>
    <row r="84" spans="1:11" s="86" customFormat="1" ht="39.75" customHeight="1" x14ac:dyDescent="0.25">
      <c r="A84" s="30" t="s">
        <v>124</v>
      </c>
      <c r="B84" s="80"/>
      <c r="C84" s="87" t="s">
        <v>81</v>
      </c>
      <c r="D84" s="252"/>
      <c r="E84" s="102" t="s">
        <v>82</v>
      </c>
      <c r="F84" s="88"/>
      <c r="G84" s="89">
        <f>G82*1.5</f>
        <v>6</v>
      </c>
      <c r="H84" s="197">
        <f t="shared" ref="H84:J84" si="8">H82*1.5</f>
        <v>6.33</v>
      </c>
      <c r="I84" s="170">
        <f t="shared" si="8"/>
        <v>6.33</v>
      </c>
      <c r="J84" s="90">
        <f t="shared" si="8"/>
        <v>4.9350000000000005</v>
      </c>
      <c r="K84" s="91">
        <f t="shared" si="7"/>
        <v>23.594999999999999</v>
      </c>
    </row>
    <row r="85" spans="1:11" s="86" customFormat="1" ht="15.75" customHeight="1" x14ac:dyDescent="0.25">
      <c r="A85" s="79"/>
      <c r="B85" s="221"/>
      <c r="C85" s="217" t="s">
        <v>83</v>
      </c>
      <c r="D85" s="252"/>
      <c r="E85" s="81" t="s">
        <v>82</v>
      </c>
      <c r="F85" s="93">
        <v>1.02</v>
      </c>
      <c r="G85" s="83">
        <f>F85*G84</f>
        <v>6.12</v>
      </c>
      <c r="H85" s="196">
        <f>F85*H84</f>
        <v>6.4565999999999999</v>
      </c>
      <c r="I85" s="169">
        <f>F85*I84</f>
        <v>6.4565999999999999</v>
      </c>
      <c r="J85" s="84">
        <f>F85*J84</f>
        <v>5.0337000000000005</v>
      </c>
      <c r="K85" s="85">
        <f t="shared" si="7"/>
        <v>24.0669</v>
      </c>
    </row>
    <row r="86" spans="1:11" s="86" customFormat="1" ht="15.75" customHeight="1" x14ac:dyDescent="0.25">
      <c r="A86" s="30" t="s">
        <v>125</v>
      </c>
      <c r="B86" s="80"/>
      <c r="C86" s="87" t="s">
        <v>45</v>
      </c>
      <c r="D86" s="252"/>
      <c r="E86" s="102" t="s">
        <v>37</v>
      </c>
      <c r="F86" s="95"/>
      <c r="G86" s="89">
        <f>G82</f>
        <v>4</v>
      </c>
      <c r="H86" s="197">
        <f t="shared" ref="H86:I86" si="9">H82</f>
        <v>4.22</v>
      </c>
      <c r="I86" s="170">
        <f t="shared" si="9"/>
        <v>4.22</v>
      </c>
      <c r="J86" s="90">
        <f>J82</f>
        <v>3.29</v>
      </c>
      <c r="K86" s="91">
        <f t="shared" si="7"/>
        <v>15.729999999999997</v>
      </c>
    </row>
    <row r="87" spans="1:11" s="86" customFormat="1" ht="15.75" customHeight="1" x14ac:dyDescent="0.25">
      <c r="A87" s="79"/>
      <c r="B87" s="221"/>
      <c r="C87" s="217" t="s">
        <v>70</v>
      </c>
      <c r="D87" s="252"/>
      <c r="E87" s="92" t="s">
        <v>37</v>
      </c>
      <c r="F87" s="93">
        <v>1.1000000000000001</v>
      </c>
      <c r="G87" s="83">
        <f>F87*G86</f>
        <v>4.4000000000000004</v>
      </c>
      <c r="H87" s="196">
        <f>F87*H86</f>
        <v>4.6420000000000003</v>
      </c>
      <c r="I87" s="169">
        <f>F87*I86</f>
        <v>4.6420000000000003</v>
      </c>
      <c r="J87" s="84">
        <f>F87*J86</f>
        <v>3.6190000000000002</v>
      </c>
      <c r="K87" s="85">
        <f t="shared" si="7"/>
        <v>17.303000000000001</v>
      </c>
    </row>
    <row r="88" spans="1:11" s="86" customFormat="1" ht="31.5" x14ac:dyDescent="0.25">
      <c r="A88" s="30" t="s">
        <v>126</v>
      </c>
      <c r="B88" s="80"/>
      <c r="C88" s="87" t="s">
        <v>166</v>
      </c>
      <c r="D88" s="252"/>
      <c r="E88" s="102" t="s">
        <v>37</v>
      </c>
      <c r="F88" s="114"/>
      <c r="G88" s="89">
        <f>G82</f>
        <v>4</v>
      </c>
      <c r="H88" s="197">
        <f>H86</f>
        <v>4.22</v>
      </c>
      <c r="I88" s="170">
        <f>I86</f>
        <v>4.22</v>
      </c>
      <c r="J88" s="90">
        <f>J82</f>
        <v>3.29</v>
      </c>
      <c r="K88" s="91">
        <f t="shared" si="7"/>
        <v>15.729999999999997</v>
      </c>
    </row>
    <row r="89" spans="1:11" s="86" customFormat="1" ht="15.75" customHeight="1" x14ac:dyDescent="0.25">
      <c r="A89" s="79"/>
      <c r="B89" s="221"/>
      <c r="C89" s="222" t="s">
        <v>84</v>
      </c>
      <c r="D89" s="252"/>
      <c r="E89" s="81" t="s">
        <v>43</v>
      </c>
      <c r="F89" s="82">
        <f>1.02*0.07</f>
        <v>7.1400000000000005E-2</v>
      </c>
      <c r="G89" s="83">
        <f>F89*G88</f>
        <v>0.28560000000000002</v>
      </c>
      <c r="H89" s="196">
        <f>F89*H88</f>
        <v>0.30130800000000002</v>
      </c>
      <c r="I89" s="169">
        <f>F89*I88</f>
        <v>0.30130800000000002</v>
      </c>
      <c r="J89" s="84">
        <f>F89*J88</f>
        <v>0.23490600000000003</v>
      </c>
      <c r="K89" s="85">
        <f t="shared" si="7"/>
        <v>1.123122</v>
      </c>
    </row>
    <row r="90" spans="1:11" s="86" customFormat="1" ht="15.75" customHeight="1" x14ac:dyDescent="0.25">
      <c r="A90" s="79"/>
      <c r="B90" s="221"/>
      <c r="C90" s="217" t="s">
        <v>85</v>
      </c>
      <c r="D90" s="258"/>
      <c r="E90" s="81" t="s">
        <v>37</v>
      </c>
      <c r="F90" s="85">
        <v>1.1000000000000001</v>
      </c>
      <c r="G90" s="83">
        <f>F90*G88</f>
        <v>4.4000000000000004</v>
      </c>
      <c r="H90" s="196">
        <f>F90*H89</f>
        <v>0.33143880000000003</v>
      </c>
      <c r="I90" s="169">
        <f>F90*I89</f>
        <v>0.33143880000000003</v>
      </c>
      <c r="J90" s="84">
        <f>F90*J88</f>
        <v>3.6190000000000002</v>
      </c>
      <c r="K90" s="85">
        <f t="shared" si="7"/>
        <v>8.6818776</v>
      </c>
    </row>
    <row r="91" spans="1:11" s="111" customFormat="1" ht="18" customHeight="1" x14ac:dyDescent="0.25">
      <c r="A91" s="63" t="s">
        <v>13</v>
      </c>
      <c r="B91" s="64"/>
      <c r="C91" s="65" t="s">
        <v>86</v>
      </c>
      <c r="D91" s="115"/>
      <c r="E91" s="97"/>
      <c r="F91" s="110"/>
      <c r="G91" s="98"/>
      <c r="H91" s="198"/>
      <c r="I91" s="171"/>
      <c r="J91" s="99"/>
      <c r="K91" s="100"/>
    </row>
    <row r="92" spans="1:11" s="111" customFormat="1" ht="18" customHeight="1" x14ac:dyDescent="0.25">
      <c r="A92" s="30" t="s">
        <v>127</v>
      </c>
      <c r="B92" s="112"/>
      <c r="C92" s="101" t="s">
        <v>68</v>
      </c>
      <c r="D92" s="260" t="s">
        <v>87</v>
      </c>
      <c r="E92" s="102" t="s">
        <v>37</v>
      </c>
      <c r="F92" s="91"/>
      <c r="G92" s="89">
        <v>12.46</v>
      </c>
      <c r="H92" s="197">
        <v>12.46</v>
      </c>
      <c r="I92" s="170">
        <v>12.46</v>
      </c>
      <c r="J92" s="90">
        <v>12.46</v>
      </c>
      <c r="K92" s="91">
        <f t="shared" ref="K92:K98" si="10">SUM(G92:J92)</f>
        <v>49.84</v>
      </c>
    </row>
    <row r="93" spans="1:11" s="86" customFormat="1" ht="15.75" customHeight="1" x14ac:dyDescent="0.25">
      <c r="A93" s="79"/>
      <c r="B93" s="221"/>
      <c r="C93" s="222" t="s">
        <v>88</v>
      </c>
      <c r="D93" s="252"/>
      <c r="E93" s="92" t="s">
        <v>43</v>
      </c>
      <c r="F93" s="88">
        <f>1.02*0.05</f>
        <v>5.1000000000000004E-2</v>
      </c>
      <c r="G93" s="83">
        <f>F93*G92</f>
        <v>0.63546000000000014</v>
      </c>
      <c r="H93" s="196">
        <f>F93*H92</f>
        <v>0.63546000000000014</v>
      </c>
      <c r="I93" s="169">
        <f>F93*I92</f>
        <v>0.63546000000000014</v>
      </c>
      <c r="J93" s="84">
        <f>F93*J92</f>
        <v>0.63546000000000014</v>
      </c>
      <c r="K93" s="85">
        <f t="shared" si="10"/>
        <v>2.5418400000000005</v>
      </c>
    </row>
    <row r="94" spans="1:11" s="86" customFormat="1" ht="15.75" customHeight="1" x14ac:dyDescent="0.25">
      <c r="A94" s="30" t="s">
        <v>128</v>
      </c>
      <c r="B94" s="80"/>
      <c r="C94" s="87" t="s">
        <v>45</v>
      </c>
      <c r="D94" s="252"/>
      <c r="E94" s="102" t="s">
        <v>37</v>
      </c>
      <c r="F94" s="95"/>
      <c r="G94" s="89">
        <f>G92</f>
        <v>12.46</v>
      </c>
      <c r="H94" s="197">
        <f>H92</f>
        <v>12.46</v>
      </c>
      <c r="I94" s="170">
        <f>I92</f>
        <v>12.46</v>
      </c>
      <c r="J94" s="90">
        <f>J92</f>
        <v>12.46</v>
      </c>
      <c r="K94" s="91">
        <f t="shared" si="10"/>
        <v>49.84</v>
      </c>
    </row>
    <row r="95" spans="1:11" s="86" customFormat="1" ht="15.75" customHeight="1" x14ac:dyDescent="0.25">
      <c r="A95" s="79"/>
      <c r="B95" s="221"/>
      <c r="C95" s="217" t="s">
        <v>70</v>
      </c>
      <c r="D95" s="252"/>
      <c r="E95" s="92" t="s">
        <v>37</v>
      </c>
      <c r="F95" s="93">
        <v>1.1000000000000001</v>
      </c>
      <c r="G95" s="83">
        <f>F95*G94</f>
        <v>13.706000000000001</v>
      </c>
      <c r="H95" s="196">
        <f>F95*H94</f>
        <v>13.706000000000001</v>
      </c>
      <c r="I95" s="169">
        <f>F95*I94</f>
        <v>13.706000000000001</v>
      </c>
      <c r="J95" s="84">
        <f>F95*J94</f>
        <v>13.706000000000001</v>
      </c>
      <c r="K95" s="85">
        <f t="shared" si="10"/>
        <v>54.824000000000005</v>
      </c>
    </row>
    <row r="96" spans="1:11" s="86" customFormat="1" ht="31.5" customHeight="1" x14ac:dyDescent="0.25">
      <c r="A96" s="30" t="s">
        <v>129</v>
      </c>
      <c r="B96" s="80"/>
      <c r="C96" s="87" t="s">
        <v>73</v>
      </c>
      <c r="D96" s="252"/>
      <c r="E96" s="102" t="s">
        <v>37</v>
      </c>
      <c r="F96" s="114"/>
      <c r="G96" s="89">
        <f>G92</f>
        <v>12.46</v>
      </c>
      <c r="H96" s="197">
        <f>H92</f>
        <v>12.46</v>
      </c>
      <c r="I96" s="170">
        <f>I92</f>
        <v>12.46</v>
      </c>
      <c r="J96" s="90">
        <f>J92</f>
        <v>12.46</v>
      </c>
      <c r="K96" s="91">
        <f t="shared" si="10"/>
        <v>49.84</v>
      </c>
    </row>
    <row r="97" spans="1:11" s="86" customFormat="1" ht="15.75" customHeight="1" x14ac:dyDescent="0.25">
      <c r="A97" s="79"/>
      <c r="B97" s="221"/>
      <c r="C97" s="222" t="s">
        <v>57</v>
      </c>
      <c r="D97" s="252"/>
      <c r="E97" s="81" t="s">
        <v>43</v>
      </c>
      <c r="F97" s="82">
        <f>1.02*0.07</f>
        <v>7.1400000000000005E-2</v>
      </c>
      <c r="G97" s="83">
        <f>F97*G96</f>
        <v>0.8896440000000001</v>
      </c>
      <c r="H97" s="196">
        <f>F97*H96</f>
        <v>0.8896440000000001</v>
      </c>
      <c r="I97" s="169">
        <f>F97*I96</f>
        <v>0.8896440000000001</v>
      </c>
      <c r="J97" s="84">
        <f>F97*J96</f>
        <v>0.8896440000000001</v>
      </c>
      <c r="K97" s="85">
        <f t="shared" si="10"/>
        <v>3.5585760000000004</v>
      </c>
    </row>
    <row r="98" spans="1:11" s="86" customFormat="1" ht="15.75" customHeight="1" x14ac:dyDescent="0.25">
      <c r="A98" s="116"/>
      <c r="B98" s="223"/>
      <c r="C98" s="224" t="s">
        <v>65</v>
      </c>
      <c r="D98" s="252"/>
      <c r="E98" s="117" t="s">
        <v>39</v>
      </c>
      <c r="F98" s="118">
        <v>7.0000000000000007E-2</v>
      </c>
      <c r="G98" s="119">
        <f>F98*G96</f>
        <v>0.8722000000000002</v>
      </c>
      <c r="H98" s="199">
        <f>F98*H97</f>
        <v>6.227508000000001E-2</v>
      </c>
      <c r="I98" s="172">
        <f>F98*I97</f>
        <v>6.227508000000001E-2</v>
      </c>
      <c r="J98" s="120">
        <f>F98*J96</f>
        <v>0.8722000000000002</v>
      </c>
      <c r="K98" s="118">
        <f t="shared" si="10"/>
        <v>1.8689501600000005</v>
      </c>
    </row>
    <row r="99" spans="1:11" s="86" customFormat="1" ht="15.75" customHeight="1" x14ac:dyDescent="0.25">
      <c r="A99" s="229" t="s">
        <v>14</v>
      </c>
      <c r="B99" s="142"/>
      <c r="C99" s="143" t="s">
        <v>169</v>
      </c>
      <c r="D99" s="235"/>
      <c r="E99" s="236"/>
      <c r="F99" s="237"/>
      <c r="G99" s="238"/>
      <c r="H99" s="239"/>
      <c r="I99" s="240"/>
      <c r="J99" s="241"/>
      <c r="K99" s="242"/>
    </row>
    <row r="100" spans="1:11" s="86" customFormat="1" ht="15.75" customHeight="1" x14ac:dyDescent="0.25">
      <c r="A100" s="30" t="s">
        <v>136</v>
      </c>
      <c r="B100" s="147"/>
      <c r="C100" s="101" t="s">
        <v>68</v>
      </c>
      <c r="D100" s="251" t="s">
        <v>171</v>
      </c>
      <c r="E100" s="102" t="s">
        <v>37</v>
      </c>
      <c r="F100" s="91"/>
      <c r="G100" s="89"/>
      <c r="H100" s="197">
        <v>50.76</v>
      </c>
      <c r="I100" s="197">
        <v>29.48</v>
      </c>
      <c r="J100" s="90"/>
      <c r="K100" s="91">
        <f t="shared" ref="K100:K106" si="11">SUM(G100:J100)</f>
        <v>80.239999999999995</v>
      </c>
    </row>
    <row r="101" spans="1:11" s="86" customFormat="1" ht="15.75" customHeight="1" x14ac:dyDescent="0.25">
      <c r="A101" s="146"/>
      <c r="B101" s="147"/>
      <c r="C101" s="230" t="s">
        <v>69</v>
      </c>
      <c r="D101" s="252"/>
      <c r="E101" s="92" t="s">
        <v>43</v>
      </c>
      <c r="F101" s="88">
        <f>1.02*0.05</f>
        <v>5.1000000000000004E-2</v>
      </c>
      <c r="G101" s="83"/>
      <c r="H101" s="196">
        <f>H100*F101</f>
        <v>2.5887600000000002</v>
      </c>
      <c r="I101" s="196">
        <f>F101*I100</f>
        <v>1.5034800000000001</v>
      </c>
      <c r="J101" s="84"/>
      <c r="K101" s="85">
        <f t="shared" si="11"/>
        <v>4.0922400000000003</v>
      </c>
    </row>
    <row r="102" spans="1:11" s="86" customFormat="1" ht="15.75" customHeight="1" x14ac:dyDescent="0.25">
      <c r="A102" s="30" t="s">
        <v>137</v>
      </c>
      <c r="B102" s="147"/>
      <c r="C102" s="87" t="s">
        <v>45</v>
      </c>
      <c r="D102" s="252"/>
      <c r="E102" s="102" t="s">
        <v>37</v>
      </c>
      <c r="F102" s="95"/>
      <c r="G102" s="89"/>
      <c r="H102" s="197">
        <f>H100</f>
        <v>50.76</v>
      </c>
      <c r="I102" s="197">
        <f>I100</f>
        <v>29.48</v>
      </c>
      <c r="J102" s="90"/>
      <c r="K102" s="91">
        <f t="shared" si="11"/>
        <v>80.239999999999995</v>
      </c>
    </row>
    <row r="103" spans="1:11" s="86" customFormat="1" ht="15.75" customHeight="1" x14ac:dyDescent="0.25">
      <c r="A103" s="146"/>
      <c r="B103" s="147"/>
      <c r="C103" s="231" t="s">
        <v>70</v>
      </c>
      <c r="D103" s="252"/>
      <c r="E103" s="92" t="s">
        <v>37</v>
      </c>
      <c r="F103" s="93">
        <v>1.1000000000000001</v>
      </c>
      <c r="G103" s="83"/>
      <c r="H103" s="196">
        <f>F103*H102</f>
        <v>55.836000000000006</v>
      </c>
      <c r="I103" s="196">
        <f>F103*I102</f>
        <v>32.428000000000004</v>
      </c>
      <c r="J103" s="84"/>
      <c r="K103" s="85">
        <f t="shared" si="11"/>
        <v>88.26400000000001</v>
      </c>
    </row>
    <row r="104" spans="1:11" s="86" customFormat="1" ht="15.75" customHeight="1" x14ac:dyDescent="0.25">
      <c r="A104" s="30" t="s">
        <v>170</v>
      </c>
      <c r="B104" s="147"/>
      <c r="C104" s="87" t="s">
        <v>73</v>
      </c>
      <c r="D104" s="252"/>
      <c r="E104" s="102" t="s">
        <v>37</v>
      </c>
      <c r="F104" s="114"/>
      <c r="G104" s="89"/>
      <c r="H104" s="197">
        <f>H102</f>
        <v>50.76</v>
      </c>
      <c r="I104" s="197">
        <f>I102</f>
        <v>29.48</v>
      </c>
      <c r="J104" s="90"/>
      <c r="K104" s="91">
        <f t="shared" si="11"/>
        <v>80.239999999999995</v>
      </c>
    </row>
    <row r="105" spans="1:11" s="86" customFormat="1" ht="15.75" customHeight="1" x14ac:dyDescent="0.25">
      <c r="A105" s="146"/>
      <c r="B105" s="147"/>
      <c r="C105" s="230" t="s">
        <v>57</v>
      </c>
      <c r="D105" s="252"/>
      <c r="E105" s="81" t="s">
        <v>43</v>
      </c>
      <c r="F105" s="82">
        <f>1.02*0.07</f>
        <v>7.1400000000000005E-2</v>
      </c>
      <c r="G105" s="83"/>
      <c r="H105" s="196">
        <f>F105*H104</f>
        <v>3.6242640000000002</v>
      </c>
      <c r="I105" s="196">
        <f t="shared" ref="I105:I106" si="12">F105*I104</f>
        <v>2.1048720000000003</v>
      </c>
      <c r="J105" s="84"/>
      <c r="K105" s="85">
        <f t="shared" si="11"/>
        <v>5.7291360000000005</v>
      </c>
    </row>
    <row r="106" spans="1:11" s="86" customFormat="1" ht="15.75" customHeight="1" x14ac:dyDescent="0.25">
      <c r="A106" s="232"/>
      <c r="B106" s="233"/>
      <c r="C106" s="234" t="s">
        <v>65</v>
      </c>
      <c r="D106" s="252"/>
      <c r="E106" s="117" t="s">
        <v>39</v>
      </c>
      <c r="F106" s="118">
        <v>7.0000000000000007E-2</v>
      </c>
      <c r="G106" s="119"/>
      <c r="H106" s="199">
        <f>F106*H104</f>
        <v>3.5532000000000004</v>
      </c>
      <c r="I106" s="199">
        <f t="shared" si="12"/>
        <v>0.14734104000000003</v>
      </c>
      <c r="J106" s="120"/>
      <c r="K106" s="118">
        <f t="shared" si="11"/>
        <v>3.7005410400000005</v>
      </c>
    </row>
    <row r="107" spans="1:11" s="86" customFormat="1" ht="6" customHeight="1" x14ac:dyDescent="0.25">
      <c r="A107" s="116"/>
      <c r="B107" s="223"/>
      <c r="C107" s="224"/>
      <c r="D107" s="228"/>
      <c r="E107" s="117"/>
      <c r="F107" s="118"/>
      <c r="G107" s="119"/>
      <c r="H107" s="199"/>
      <c r="I107" s="172"/>
      <c r="J107" s="120"/>
      <c r="K107" s="118"/>
    </row>
    <row r="108" spans="1:11" s="86" customFormat="1" ht="15.75" customHeight="1" x14ac:dyDescent="0.25">
      <c r="A108" s="229" t="s">
        <v>130</v>
      </c>
      <c r="B108" s="243"/>
      <c r="C108" s="143" t="s">
        <v>172</v>
      </c>
      <c r="D108" s="235"/>
      <c r="E108" s="236"/>
      <c r="F108" s="237"/>
      <c r="G108" s="238"/>
      <c r="H108" s="239"/>
      <c r="I108" s="240"/>
      <c r="J108" s="241"/>
      <c r="K108" s="242"/>
    </row>
    <row r="109" spans="1:11" s="86" customFormat="1" ht="15.75" customHeight="1" x14ac:dyDescent="0.25">
      <c r="A109" s="30" t="s">
        <v>138</v>
      </c>
      <c r="B109" s="147"/>
      <c r="C109" s="101" t="s">
        <v>173</v>
      </c>
      <c r="D109" s="251" t="s">
        <v>175</v>
      </c>
      <c r="E109" s="102" t="s">
        <v>37</v>
      </c>
      <c r="F109" s="113"/>
      <c r="G109" s="89"/>
      <c r="H109" s="197">
        <f t="shared" ref="H109:I109" si="13">H111*1.5*0.3+H111</f>
        <v>10.063000000000001</v>
      </c>
      <c r="I109" s="170">
        <f t="shared" si="13"/>
        <v>5.0894999999999992</v>
      </c>
      <c r="J109" s="90"/>
      <c r="K109" s="91">
        <f t="shared" ref="K109:K117" si="14">SUM(G109:J109)</f>
        <v>15.1525</v>
      </c>
    </row>
    <row r="110" spans="1:11" s="86" customFormat="1" ht="15.75" customHeight="1" x14ac:dyDescent="0.25">
      <c r="A110" s="146"/>
      <c r="B110" s="147"/>
      <c r="C110" s="231" t="s">
        <v>74</v>
      </c>
      <c r="D110" s="252"/>
      <c r="E110" s="92" t="s">
        <v>39</v>
      </c>
      <c r="F110" s="88">
        <v>2</v>
      </c>
      <c r="G110" s="83"/>
      <c r="H110" s="196">
        <f>F110*H109</f>
        <v>20.126000000000001</v>
      </c>
      <c r="I110" s="169">
        <f>I109*F110</f>
        <v>10.178999999999998</v>
      </c>
      <c r="J110" s="84"/>
      <c r="K110" s="85">
        <f t="shared" si="14"/>
        <v>30.305</v>
      </c>
    </row>
    <row r="111" spans="1:11" s="86" customFormat="1" ht="15.75" customHeight="1" x14ac:dyDescent="0.25">
      <c r="A111" s="30" t="s">
        <v>139</v>
      </c>
      <c r="B111" s="147"/>
      <c r="C111" s="101" t="s">
        <v>68</v>
      </c>
      <c r="D111" s="252"/>
      <c r="E111" s="102" t="s">
        <v>37</v>
      </c>
      <c r="F111" s="88"/>
      <c r="G111" s="89"/>
      <c r="H111" s="197">
        <v>6.94</v>
      </c>
      <c r="I111" s="170">
        <v>3.51</v>
      </c>
      <c r="J111" s="90"/>
      <c r="K111" s="91">
        <f t="shared" si="14"/>
        <v>10.45</v>
      </c>
    </row>
    <row r="112" spans="1:11" s="86" customFormat="1" ht="15.75" customHeight="1" x14ac:dyDescent="0.25">
      <c r="A112" s="146"/>
      <c r="B112" s="147"/>
      <c r="C112" s="230" t="s">
        <v>69</v>
      </c>
      <c r="D112" s="252"/>
      <c r="E112" s="81" t="s">
        <v>43</v>
      </c>
      <c r="F112" s="93">
        <f>1.02*0.08</f>
        <v>8.1600000000000006E-2</v>
      </c>
      <c r="G112" s="83"/>
      <c r="H112" s="196">
        <f>F112*H111</f>
        <v>0.56630400000000003</v>
      </c>
      <c r="I112" s="169">
        <f>I111*F112</f>
        <v>0.286416</v>
      </c>
      <c r="J112" s="84"/>
      <c r="K112" s="85">
        <f t="shared" si="14"/>
        <v>0.85272000000000003</v>
      </c>
    </row>
    <row r="113" spans="1:11" s="86" customFormat="1" ht="15.75" customHeight="1" x14ac:dyDescent="0.25">
      <c r="A113" s="30" t="s">
        <v>140</v>
      </c>
      <c r="B113" s="147"/>
      <c r="C113" s="87" t="s">
        <v>45</v>
      </c>
      <c r="D113" s="252"/>
      <c r="E113" s="102" t="s">
        <v>37</v>
      </c>
      <c r="F113" s="95"/>
      <c r="G113" s="89"/>
      <c r="H113" s="197">
        <f>H111</f>
        <v>6.94</v>
      </c>
      <c r="I113" s="170">
        <f>I111</f>
        <v>3.51</v>
      </c>
      <c r="J113" s="90"/>
      <c r="K113" s="91">
        <f t="shared" si="14"/>
        <v>10.45</v>
      </c>
    </row>
    <row r="114" spans="1:11" s="86" customFormat="1" ht="15.75" customHeight="1" x14ac:dyDescent="0.25">
      <c r="A114" s="146"/>
      <c r="B114" s="147"/>
      <c r="C114" s="231" t="s">
        <v>70</v>
      </c>
      <c r="D114" s="252"/>
      <c r="E114" s="92" t="s">
        <v>37</v>
      </c>
      <c r="F114" s="93">
        <f>1.1</f>
        <v>1.1000000000000001</v>
      </c>
      <c r="G114" s="83"/>
      <c r="H114" s="196">
        <f>F114*H113</f>
        <v>7.6340000000000012</v>
      </c>
      <c r="I114" s="169">
        <f>I113*F114</f>
        <v>3.8610000000000002</v>
      </c>
      <c r="J114" s="84"/>
      <c r="K114" s="85">
        <f t="shared" si="14"/>
        <v>11.495000000000001</v>
      </c>
    </row>
    <row r="115" spans="1:11" s="86" customFormat="1" ht="15.75" customHeight="1" x14ac:dyDescent="0.25">
      <c r="A115" s="30" t="s">
        <v>174</v>
      </c>
      <c r="B115" s="147"/>
      <c r="C115" s="87" t="s">
        <v>73</v>
      </c>
      <c r="D115" s="252"/>
      <c r="E115" s="102" t="s">
        <v>37</v>
      </c>
      <c r="F115" s="114"/>
      <c r="G115" s="89"/>
      <c r="H115" s="197">
        <f>H113</f>
        <v>6.94</v>
      </c>
      <c r="I115" s="170">
        <f>I113</f>
        <v>3.51</v>
      </c>
      <c r="J115" s="90"/>
      <c r="K115" s="91">
        <f t="shared" si="14"/>
        <v>10.45</v>
      </c>
    </row>
    <row r="116" spans="1:11" s="86" customFormat="1" ht="15.75" customHeight="1" x14ac:dyDescent="0.25">
      <c r="A116" s="146"/>
      <c r="B116" s="147"/>
      <c r="C116" s="230" t="s">
        <v>57</v>
      </c>
      <c r="D116" s="252"/>
      <c r="E116" s="81" t="s">
        <v>43</v>
      </c>
      <c r="F116" s="82">
        <f>1.02*0.07</f>
        <v>7.1400000000000005E-2</v>
      </c>
      <c r="G116" s="83"/>
      <c r="H116" s="196">
        <f>F116*H115</f>
        <v>0.49551600000000007</v>
      </c>
      <c r="I116" s="169">
        <f t="shared" ref="I116:I117" si="15">I115*F116</f>
        <v>0.250614</v>
      </c>
      <c r="J116" s="84"/>
      <c r="K116" s="85">
        <f t="shared" si="14"/>
        <v>0.74613000000000007</v>
      </c>
    </row>
    <row r="117" spans="1:11" s="86" customFormat="1" ht="15.75" customHeight="1" x14ac:dyDescent="0.25">
      <c r="A117" s="146"/>
      <c r="B117" s="147"/>
      <c r="C117" s="230" t="s">
        <v>65</v>
      </c>
      <c r="D117" s="258"/>
      <c r="E117" s="81" t="s">
        <v>39</v>
      </c>
      <c r="F117" s="85">
        <v>7.0000000000000007E-2</v>
      </c>
      <c r="G117" s="83"/>
      <c r="H117" s="196">
        <f>F117*H115</f>
        <v>0.48580000000000007</v>
      </c>
      <c r="I117" s="169">
        <f t="shared" si="15"/>
        <v>1.7542980000000003E-2</v>
      </c>
      <c r="J117" s="84"/>
      <c r="K117" s="85">
        <f t="shared" si="14"/>
        <v>0.50334298000000011</v>
      </c>
    </row>
    <row r="118" spans="1:11" s="86" customFormat="1" ht="18" customHeight="1" x14ac:dyDescent="0.25">
      <c r="A118" s="121"/>
      <c r="B118" s="122"/>
      <c r="C118" s="123" t="s">
        <v>12</v>
      </c>
      <c r="D118" s="122"/>
      <c r="E118" s="122"/>
      <c r="F118" s="124"/>
      <c r="G118" s="192"/>
      <c r="H118" s="122"/>
      <c r="I118" s="173"/>
      <c r="J118" s="122"/>
      <c r="K118" s="124"/>
    </row>
    <row r="119" spans="1:11" s="111" customFormat="1" ht="18" customHeight="1" x14ac:dyDescent="0.25">
      <c r="A119" s="63" t="s">
        <v>10</v>
      </c>
      <c r="B119" s="64"/>
      <c r="C119" s="65" t="s">
        <v>67</v>
      </c>
      <c r="D119" s="125"/>
      <c r="E119" s="67"/>
      <c r="F119" s="126"/>
      <c r="G119" s="127"/>
      <c r="H119" s="200"/>
      <c r="I119" s="174"/>
      <c r="J119" s="128"/>
      <c r="K119" s="129"/>
    </row>
    <row r="120" spans="1:11" s="86" customFormat="1" ht="15.75" customHeight="1" x14ac:dyDescent="0.25">
      <c r="A120" s="30" t="s">
        <v>141</v>
      </c>
      <c r="B120" s="80"/>
      <c r="C120" s="101" t="s">
        <v>89</v>
      </c>
      <c r="D120" s="251">
        <v>3</v>
      </c>
      <c r="E120" s="94" t="s">
        <v>37</v>
      </c>
      <c r="F120" s="95"/>
      <c r="G120" s="89">
        <v>7971.0500000000011</v>
      </c>
      <c r="H120" s="197">
        <v>6881.08</v>
      </c>
      <c r="I120" s="170">
        <v>7689.4400000000005</v>
      </c>
      <c r="J120" s="90">
        <v>6873.84</v>
      </c>
      <c r="K120" s="91">
        <f t="shared" ref="K120:K124" si="16">SUM(G120:J120)</f>
        <v>29415.41</v>
      </c>
    </row>
    <row r="121" spans="1:11" s="86" customFormat="1" ht="15.75" customHeight="1" x14ac:dyDescent="0.25">
      <c r="A121" s="79"/>
      <c r="B121" s="221"/>
      <c r="C121" s="222" t="s">
        <v>90</v>
      </c>
      <c r="D121" s="252"/>
      <c r="E121" s="92" t="s">
        <v>37</v>
      </c>
      <c r="F121" s="93">
        <v>1.1000000000000001</v>
      </c>
      <c r="G121" s="83">
        <f>F121*G120</f>
        <v>8768.1550000000025</v>
      </c>
      <c r="H121" s="196">
        <f>F121*H120</f>
        <v>7569.1880000000001</v>
      </c>
      <c r="I121" s="169">
        <f>F121*I120</f>
        <v>8458.3840000000018</v>
      </c>
      <c r="J121" s="84">
        <f>F121*J120</f>
        <v>7561.2240000000011</v>
      </c>
      <c r="K121" s="85">
        <f t="shared" si="16"/>
        <v>32356.951000000008</v>
      </c>
    </row>
    <row r="122" spans="1:11" s="86" customFormat="1" ht="31.5" customHeight="1" x14ac:dyDescent="0.25">
      <c r="A122" s="30" t="s">
        <v>176</v>
      </c>
      <c r="B122" s="80"/>
      <c r="C122" s="87" t="s">
        <v>91</v>
      </c>
      <c r="D122" s="252"/>
      <c r="E122" s="94" t="s">
        <v>37</v>
      </c>
      <c r="F122" s="130"/>
      <c r="G122" s="89">
        <f>G120</f>
        <v>7971.0500000000011</v>
      </c>
      <c r="H122" s="197">
        <f>H120</f>
        <v>6881.08</v>
      </c>
      <c r="I122" s="170">
        <f>I120</f>
        <v>7689.4400000000005</v>
      </c>
      <c r="J122" s="90">
        <f>J120</f>
        <v>6873.84</v>
      </c>
      <c r="K122" s="91">
        <f t="shared" si="16"/>
        <v>29415.41</v>
      </c>
    </row>
    <row r="123" spans="1:11" s="86" customFormat="1" ht="15.75" customHeight="1" x14ac:dyDescent="0.25">
      <c r="A123" s="79"/>
      <c r="B123" s="221"/>
      <c r="C123" s="222" t="s">
        <v>57</v>
      </c>
      <c r="D123" s="252"/>
      <c r="E123" s="92" t="s">
        <v>43</v>
      </c>
      <c r="F123" s="88">
        <f>1.02*0.06</f>
        <v>6.1199999999999997E-2</v>
      </c>
      <c r="G123" s="83">
        <f>F123*G122</f>
        <v>487.82826000000006</v>
      </c>
      <c r="H123" s="196">
        <f>F123*H122</f>
        <v>421.122096</v>
      </c>
      <c r="I123" s="169">
        <f>F123*I122</f>
        <v>470.593728</v>
      </c>
      <c r="J123" s="84">
        <f>F123*J122</f>
        <v>420.67900800000001</v>
      </c>
      <c r="K123" s="85">
        <f t="shared" si="16"/>
        <v>1800.2230920000002</v>
      </c>
    </row>
    <row r="124" spans="1:11" s="86" customFormat="1" ht="15.75" customHeight="1" x14ac:dyDescent="0.25">
      <c r="A124" s="79"/>
      <c r="B124" s="221"/>
      <c r="C124" s="222" t="s">
        <v>65</v>
      </c>
      <c r="D124" s="258"/>
      <c r="E124" s="81" t="s">
        <v>39</v>
      </c>
      <c r="F124" s="85">
        <v>0.06</v>
      </c>
      <c r="G124" s="83">
        <f>F124*G122</f>
        <v>478.26300000000003</v>
      </c>
      <c r="H124" s="196">
        <f>F124*H123</f>
        <v>25.267325759999999</v>
      </c>
      <c r="I124" s="169">
        <f>F124*I123</f>
        <v>28.23562368</v>
      </c>
      <c r="J124" s="84">
        <f>F124*J123</f>
        <v>25.240740479999999</v>
      </c>
      <c r="K124" s="85">
        <f t="shared" si="16"/>
        <v>557.00668991999999</v>
      </c>
    </row>
    <row r="125" spans="1:11" s="111" customFormat="1" ht="18" customHeight="1" x14ac:dyDescent="0.25">
      <c r="A125" s="63" t="s">
        <v>131</v>
      </c>
      <c r="B125" s="64"/>
      <c r="C125" s="65" t="s">
        <v>72</v>
      </c>
      <c r="D125" s="115"/>
      <c r="E125" s="67"/>
      <c r="F125" s="126"/>
      <c r="G125" s="127"/>
      <c r="H125" s="200"/>
      <c r="I125" s="174"/>
      <c r="J125" s="128"/>
      <c r="K125" s="129"/>
    </row>
    <row r="126" spans="1:11" s="111" customFormat="1" ht="15.75" customHeight="1" x14ac:dyDescent="0.25">
      <c r="A126" s="30" t="s">
        <v>142</v>
      </c>
      <c r="B126" s="112"/>
      <c r="C126" s="101" t="s">
        <v>89</v>
      </c>
      <c r="D126" s="251">
        <v>4</v>
      </c>
      <c r="E126" s="94" t="s">
        <v>37</v>
      </c>
      <c r="F126" s="95"/>
      <c r="G126" s="89">
        <v>992.86999999999989</v>
      </c>
      <c r="H126" s="197">
        <v>878.51</v>
      </c>
      <c r="I126" s="170">
        <v>896.90000000000009</v>
      </c>
      <c r="J126" s="90">
        <v>839.95999999999992</v>
      </c>
      <c r="K126" s="91">
        <f t="shared" ref="K126:K132" si="17">SUM(G126:J126)</f>
        <v>3608.24</v>
      </c>
    </row>
    <row r="127" spans="1:11" s="86" customFormat="1" ht="15.75" customHeight="1" x14ac:dyDescent="0.25">
      <c r="A127" s="79"/>
      <c r="B127" s="221"/>
      <c r="C127" s="222" t="s">
        <v>90</v>
      </c>
      <c r="D127" s="252"/>
      <c r="E127" s="92" t="s">
        <v>37</v>
      </c>
      <c r="F127" s="93">
        <v>1.1000000000000001</v>
      </c>
      <c r="G127" s="83">
        <f>F127*G126</f>
        <v>1092.1569999999999</v>
      </c>
      <c r="H127" s="196">
        <f>F127*H126</f>
        <v>966.3610000000001</v>
      </c>
      <c r="I127" s="169">
        <f>F127*I126</f>
        <v>986.59000000000015</v>
      </c>
      <c r="J127" s="84">
        <f>F127*J126</f>
        <v>923.95600000000002</v>
      </c>
      <c r="K127" s="85">
        <f t="shared" si="17"/>
        <v>3969.0640000000003</v>
      </c>
    </row>
    <row r="128" spans="1:11" s="86" customFormat="1" ht="31.5" customHeight="1" x14ac:dyDescent="0.25">
      <c r="A128" s="30" t="s">
        <v>177</v>
      </c>
      <c r="B128" s="80"/>
      <c r="C128" s="87" t="s">
        <v>91</v>
      </c>
      <c r="D128" s="252"/>
      <c r="E128" s="94" t="s">
        <v>37</v>
      </c>
      <c r="F128" s="130"/>
      <c r="G128" s="89">
        <f>G126</f>
        <v>992.86999999999989</v>
      </c>
      <c r="H128" s="197">
        <f>H126</f>
        <v>878.51</v>
      </c>
      <c r="I128" s="170">
        <f>I126</f>
        <v>896.90000000000009</v>
      </c>
      <c r="J128" s="90">
        <f>J126</f>
        <v>839.95999999999992</v>
      </c>
      <c r="K128" s="91">
        <f t="shared" si="17"/>
        <v>3608.24</v>
      </c>
    </row>
    <row r="129" spans="1:11" s="86" customFormat="1" ht="15.75" customHeight="1" x14ac:dyDescent="0.25">
      <c r="A129" s="79"/>
      <c r="B129" s="221"/>
      <c r="C129" s="222" t="s">
        <v>57</v>
      </c>
      <c r="D129" s="252"/>
      <c r="E129" s="92" t="s">
        <v>43</v>
      </c>
      <c r="F129" s="88">
        <f>1.02*0.06</f>
        <v>6.1199999999999997E-2</v>
      </c>
      <c r="G129" s="83">
        <f>F129*G128</f>
        <v>60.763643999999992</v>
      </c>
      <c r="H129" s="196">
        <f>F129*H128</f>
        <v>53.764811999999999</v>
      </c>
      <c r="I129" s="169">
        <f>F129*I128</f>
        <v>54.890280000000004</v>
      </c>
      <c r="J129" s="84">
        <f>F129*J128</f>
        <v>51.405551999999993</v>
      </c>
      <c r="K129" s="85">
        <f t="shared" si="17"/>
        <v>220.824288</v>
      </c>
    </row>
    <row r="130" spans="1:11" s="86" customFormat="1" ht="15.75" customHeight="1" x14ac:dyDescent="0.25">
      <c r="A130" s="79"/>
      <c r="B130" s="221"/>
      <c r="C130" s="222" t="s">
        <v>65</v>
      </c>
      <c r="D130" s="252"/>
      <c r="E130" s="81" t="s">
        <v>39</v>
      </c>
      <c r="F130" s="85">
        <v>0.06</v>
      </c>
      <c r="G130" s="83">
        <f>F130*G128</f>
        <v>59.572199999999988</v>
      </c>
      <c r="H130" s="196">
        <f>H128*F130</f>
        <v>52.710599999999999</v>
      </c>
      <c r="I130" s="169">
        <f>I128*F130</f>
        <v>53.814</v>
      </c>
      <c r="J130" s="84">
        <f>J128*F130</f>
        <v>50.39759999999999</v>
      </c>
      <c r="K130" s="85">
        <f t="shared" si="17"/>
        <v>216.49439999999996</v>
      </c>
    </row>
    <row r="131" spans="1:11" s="86" customFormat="1" ht="31.5" customHeight="1" x14ac:dyDescent="0.25">
      <c r="A131" s="30" t="s">
        <v>178</v>
      </c>
      <c r="B131" s="80"/>
      <c r="C131" s="101" t="s">
        <v>168</v>
      </c>
      <c r="D131" s="252"/>
      <c r="E131" s="94" t="s">
        <v>37</v>
      </c>
      <c r="F131" s="131"/>
      <c r="G131" s="89">
        <f>G128*1.9*0.3+G128</f>
        <v>1558.8058999999998</v>
      </c>
      <c r="H131" s="197">
        <f t="shared" ref="H131:J131" si="18">H128*1.9*0.3+H128</f>
        <v>1379.2606999999998</v>
      </c>
      <c r="I131" s="170">
        <f t="shared" si="18"/>
        <v>1408.133</v>
      </c>
      <c r="J131" s="90">
        <f t="shared" si="18"/>
        <v>1318.7371999999998</v>
      </c>
      <c r="K131" s="91">
        <f t="shared" si="17"/>
        <v>5664.9367999999995</v>
      </c>
    </row>
    <row r="132" spans="1:11" s="86" customFormat="1" ht="15.75" customHeight="1" x14ac:dyDescent="0.25">
      <c r="A132" s="79"/>
      <c r="B132" s="221"/>
      <c r="C132" s="222" t="s">
        <v>74</v>
      </c>
      <c r="D132" s="258"/>
      <c r="E132" s="81" t="s">
        <v>39</v>
      </c>
      <c r="F132" s="85">
        <v>2</v>
      </c>
      <c r="G132" s="83">
        <f>F132*G131</f>
        <v>3117.6117999999997</v>
      </c>
      <c r="H132" s="196">
        <f>F132*H131</f>
        <v>2758.5213999999996</v>
      </c>
      <c r="I132" s="169">
        <f>F132*I131</f>
        <v>2816.2660000000001</v>
      </c>
      <c r="J132" s="84">
        <f>F132*J131</f>
        <v>2637.4743999999996</v>
      </c>
      <c r="K132" s="85">
        <f t="shared" si="17"/>
        <v>11329.873599999999</v>
      </c>
    </row>
    <row r="133" spans="1:11" s="111" customFormat="1" ht="18" customHeight="1" x14ac:dyDescent="0.25">
      <c r="A133" s="63" t="s">
        <v>132</v>
      </c>
      <c r="B133" s="64"/>
      <c r="C133" s="65" t="s">
        <v>92</v>
      </c>
      <c r="D133" s="132"/>
      <c r="E133" s="67"/>
      <c r="F133" s="126"/>
      <c r="G133" s="133"/>
      <c r="H133" s="201"/>
      <c r="I133" s="175"/>
      <c r="J133" s="134"/>
      <c r="K133" s="135"/>
    </row>
    <row r="134" spans="1:11" s="86" customFormat="1" ht="31.5" customHeight="1" x14ac:dyDescent="0.25">
      <c r="A134" s="30" t="s">
        <v>133</v>
      </c>
      <c r="B134" s="80"/>
      <c r="C134" s="87" t="s">
        <v>73</v>
      </c>
      <c r="D134" s="251">
        <v>7</v>
      </c>
      <c r="E134" s="94" t="s">
        <v>37</v>
      </c>
      <c r="F134" s="95"/>
      <c r="G134" s="89">
        <v>1559.01</v>
      </c>
      <c r="H134" s="197">
        <v>1665.3199999999997</v>
      </c>
      <c r="I134" s="170">
        <v>1763.98</v>
      </c>
      <c r="J134" s="90">
        <v>1496.8000000000002</v>
      </c>
      <c r="K134" s="91">
        <f t="shared" ref="K134:K145" si="19">SUM(G134:J134)</f>
        <v>6485.11</v>
      </c>
    </row>
    <row r="135" spans="1:11" s="86" customFormat="1" ht="15.75" customHeight="1" x14ac:dyDescent="0.25">
      <c r="A135" s="79"/>
      <c r="B135" s="221"/>
      <c r="C135" s="222" t="s">
        <v>57</v>
      </c>
      <c r="D135" s="252"/>
      <c r="E135" s="92" t="s">
        <v>43</v>
      </c>
      <c r="F135" s="88">
        <f>1.02*0.07</f>
        <v>7.1400000000000005E-2</v>
      </c>
      <c r="G135" s="83">
        <f>F135*G134</f>
        <v>111.31331400000001</v>
      </c>
      <c r="H135" s="196">
        <f>F135*H134</f>
        <v>118.90384799999998</v>
      </c>
      <c r="I135" s="169">
        <f>F135*I134</f>
        <v>125.94817200000001</v>
      </c>
      <c r="J135" s="84">
        <f>F135*J134</f>
        <v>106.87152000000002</v>
      </c>
      <c r="K135" s="85">
        <f>SUM(G135:J135)</f>
        <v>463.03685400000001</v>
      </c>
    </row>
    <row r="136" spans="1:11" s="86" customFormat="1" ht="15.75" customHeight="1" x14ac:dyDescent="0.25">
      <c r="A136" s="79"/>
      <c r="B136" s="221"/>
      <c r="C136" s="222" t="s">
        <v>65</v>
      </c>
      <c r="D136" s="258"/>
      <c r="E136" s="81" t="s">
        <v>39</v>
      </c>
      <c r="F136" s="136">
        <f>0.07</f>
        <v>7.0000000000000007E-2</v>
      </c>
      <c r="G136" s="119">
        <f>F136*G134</f>
        <v>109.1307</v>
      </c>
      <c r="H136" s="196">
        <f>H134*F136</f>
        <v>116.57239999999999</v>
      </c>
      <c r="I136" s="172">
        <f>I134*F136</f>
        <v>123.47860000000001</v>
      </c>
      <c r="J136" s="120">
        <f>J134*F136</f>
        <v>104.77600000000002</v>
      </c>
      <c r="K136" s="118">
        <f t="shared" si="19"/>
        <v>453.95770000000005</v>
      </c>
    </row>
    <row r="137" spans="1:11" s="111" customFormat="1" ht="18" customHeight="1" x14ac:dyDescent="0.25">
      <c r="A137" s="63" t="s">
        <v>134</v>
      </c>
      <c r="B137" s="64"/>
      <c r="C137" s="65" t="s">
        <v>93</v>
      </c>
      <c r="D137" s="132"/>
      <c r="E137" s="67"/>
      <c r="F137" s="126"/>
      <c r="G137" s="193"/>
      <c r="H137" s="137"/>
      <c r="I137" s="176"/>
      <c r="J137" s="137"/>
      <c r="K137" s="138"/>
    </row>
    <row r="138" spans="1:11" s="86" customFormat="1" ht="31.5" customHeight="1" x14ac:dyDescent="0.25">
      <c r="A138" s="30" t="s">
        <v>143</v>
      </c>
      <c r="B138" s="80"/>
      <c r="C138" s="87" t="s">
        <v>94</v>
      </c>
      <c r="D138" s="251">
        <v>8</v>
      </c>
      <c r="E138" s="94" t="s">
        <v>37</v>
      </c>
      <c r="F138" s="95"/>
      <c r="G138" s="89">
        <v>239.58999999999997</v>
      </c>
      <c r="H138" s="197">
        <v>214.37</v>
      </c>
      <c r="I138" s="170">
        <v>226.98</v>
      </c>
      <c r="J138" s="90">
        <v>201.76</v>
      </c>
      <c r="K138" s="91">
        <f t="shared" si="19"/>
        <v>882.69999999999993</v>
      </c>
    </row>
    <row r="139" spans="1:11" s="86" customFormat="1" ht="15.75" customHeight="1" x14ac:dyDescent="0.25">
      <c r="A139" s="79"/>
      <c r="B139" s="221"/>
      <c r="C139" s="222" t="s">
        <v>57</v>
      </c>
      <c r="D139" s="252"/>
      <c r="E139" s="92" t="s">
        <v>43</v>
      </c>
      <c r="F139" s="88">
        <f>1.02*0.05</f>
        <v>5.1000000000000004E-2</v>
      </c>
      <c r="G139" s="83">
        <f>F139*G138</f>
        <v>12.21909</v>
      </c>
      <c r="H139" s="196">
        <f>F139*H138</f>
        <v>10.932870000000001</v>
      </c>
      <c r="I139" s="169">
        <f>F139*I138</f>
        <v>11.575979999999999</v>
      </c>
      <c r="J139" s="84">
        <f>F139*J138</f>
        <v>10.289760000000001</v>
      </c>
      <c r="K139" s="205">
        <f t="shared" si="19"/>
        <v>45.017700000000005</v>
      </c>
    </row>
    <row r="140" spans="1:11" s="86" customFormat="1" ht="15.75" customHeight="1" x14ac:dyDescent="0.25">
      <c r="A140" s="116"/>
      <c r="B140" s="223"/>
      <c r="C140" s="224" t="s">
        <v>65</v>
      </c>
      <c r="D140" s="252"/>
      <c r="E140" s="139" t="s">
        <v>39</v>
      </c>
      <c r="F140" s="140">
        <v>0.05</v>
      </c>
      <c r="G140" s="119">
        <f>F140*G138</f>
        <v>11.9795</v>
      </c>
      <c r="H140" s="199">
        <f>H138*F140</f>
        <v>10.718500000000001</v>
      </c>
      <c r="I140" s="172">
        <f>I138*F140</f>
        <v>11.349</v>
      </c>
      <c r="J140" s="120">
        <f>J138*F140</f>
        <v>10.088000000000001</v>
      </c>
      <c r="K140" s="118">
        <f t="shared" si="19"/>
        <v>44.134999999999998</v>
      </c>
    </row>
    <row r="141" spans="1:11" s="86" customFormat="1" ht="18" customHeight="1" x14ac:dyDescent="0.25">
      <c r="A141" s="141" t="s">
        <v>135</v>
      </c>
      <c r="B141" s="142"/>
      <c r="C141" s="143" t="s">
        <v>95</v>
      </c>
      <c r="D141" s="132"/>
      <c r="E141" s="144"/>
      <c r="F141" s="145"/>
      <c r="G141" s="193"/>
      <c r="H141" s="137"/>
      <c r="I141" s="176"/>
      <c r="J141" s="137"/>
      <c r="K141" s="138"/>
    </row>
    <row r="142" spans="1:11" s="86" customFormat="1" ht="47.25" customHeight="1" x14ac:dyDescent="0.25">
      <c r="A142" s="30" t="s">
        <v>144</v>
      </c>
      <c r="B142" s="147"/>
      <c r="C142" s="87" t="s">
        <v>96</v>
      </c>
      <c r="D142" s="251"/>
      <c r="E142" s="94" t="s">
        <v>37</v>
      </c>
      <c r="F142" s="136"/>
      <c r="G142" s="194">
        <f>6.3*19</f>
        <v>119.7</v>
      </c>
      <c r="H142" s="148">
        <f>7.1*17</f>
        <v>120.69999999999999</v>
      </c>
      <c r="I142" s="177">
        <f>7.1*18</f>
        <v>127.8</v>
      </c>
      <c r="J142" s="148">
        <f>6.3*16</f>
        <v>100.8</v>
      </c>
      <c r="K142" s="149">
        <f t="shared" si="19"/>
        <v>469</v>
      </c>
    </row>
    <row r="143" spans="1:11" s="86" customFormat="1" ht="15.75" customHeight="1" x14ac:dyDescent="0.25">
      <c r="A143" s="146"/>
      <c r="B143" s="225"/>
      <c r="C143" s="222" t="s">
        <v>57</v>
      </c>
      <c r="D143" s="252"/>
      <c r="E143" s="92" t="s">
        <v>43</v>
      </c>
      <c r="F143" s="88">
        <f>1.02*0.03</f>
        <v>3.0599999999999999E-2</v>
      </c>
      <c r="G143" s="96">
        <f>F143*G142</f>
        <v>3.66282</v>
      </c>
      <c r="H143" s="150">
        <f>F143*H142</f>
        <v>3.6934199999999997</v>
      </c>
      <c r="I143" s="178">
        <f>F143*I142</f>
        <v>3.9106799999999997</v>
      </c>
      <c r="J143" s="150">
        <f>F143*J142</f>
        <v>3.0844799999999997</v>
      </c>
      <c r="K143" s="93">
        <f t="shared" si="19"/>
        <v>14.351399999999998</v>
      </c>
    </row>
    <row r="144" spans="1:11" s="86" customFormat="1" ht="15.75" customHeight="1" x14ac:dyDescent="0.25">
      <c r="A144" s="146"/>
      <c r="B144" s="225"/>
      <c r="C144" s="217" t="s">
        <v>65</v>
      </c>
      <c r="D144" s="252"/>
      <c r="E144" s="139" t="s">
        <v>39</v>
      </c>
      <c r="F144" s="136">
        <v>0.03</v>
      </c>
      <c r="G144" s="96">
        <f>F144*G142</f>
        <v>3.5909999999999997</v>
      </c>
      <c r="H144" s="150">
        <f>H142*F144</f>
        <v>3.6209999999999996</v>
      </c>
      <c r="I144" s="178">
        <f>I142*F144</f>
        <v>3.8339999999999996</v>
      </c>
      <c r="J144" s="150">
        <f>J142*F144</f>
        <v>3.024</v>
      </c>
      <c r="K144" s="93">
        <f t="shared" si="19"/>
        <v>14.07</v>
      </c>
    </row>
    <row r="145" spans="1:11" s="72" customFormat="1" ht="15.75" customHeight="1" thickBot="1" x14ac:dyDescent="0.3">
      <c r="A145" s="244"/>
      <c r="B145" s="226"/>
      <c r="C145" s="227" t="s">
        <v>97</v>
      </c>
      <c r="D145" s="255"/>
      <c r="E145" s="151" t="s">
        <v>53</v>
      </c>
      <c r="F145" s="152">
        <v>0.4</v>
      </c>
      <c r="G145" s="195">
        <f>F145*G142</f>
        <v>47.88</v>
      </c>
      <c r="H145" s="153">
        <f>H142*F145</f>
        <v>48.28</v>
      </c>
      <c r="I145" s="179">
        <f>I142*F145</f>
        <v>51.120000000000005</v>
      </c>
      <c r="J145" s="153">
        <f>J142*F145</f>
        <v>40.32</v>
      </c>
      <c r="K145" s="154">
        <f t="shared" si="19"/>
        <v>187.6</v>
      </c>
    </row>
    <row r="146" spans="1:11" s="86" customFormat="1" ht="18" customHeight="1" x14ac:dyDescent="0.25">
      <c r="A146" s="121"/>
      <c r="B146" s="59"/>
      <c r="C146" s="60" t="s">
        <v>108</v>
      </c>
      <c r="D146" s="59"/>
      <c r="E146" s="59"/>
      <c r="F146" s="61"/>
      <c r="G146" s="206"/>
      <c r="H146" s="59"/>
      <c r="I146" s="166"/>
      <c r="J146" s="59"/>
      <c r="K146" s="61"/>
    </row>
    <row r="147" spans="1:11" s="158" customFormat="1" ht="15.75" customHeight="1" x14ac:dyDescent="0.2">
      <c r="A147" s="63" t="s">
        <v>179</v>
      </c>
      <c r="B147" s="64"/>
      <c r="C147" s="65" t="s">
        <v>93</v>
      </c>
      <c r="D147" s="132"/>
      <c r="E147" s="67"/>
      <c r="F147" s="126"/>
      <c r="G147" s="193"/>
      <c r="H147" s="137"/>
      <c r="I147" s="176"/>
      <c r="J147" s="137"/>
      <c r="K147" s="138"/>
    </row>
    <row r="148" spans="1:11" s="158" customFormat="1" ht="31.5" x14ac:dyDescent="0.2">
      <c r="A148" s="30" t="s">
        <v>180</v>
      </c>
      <c r="B148" s="80"/>
      <c r="C148" s="87" t="s">
        <v>94</v>
      </c>
      <c r="D148" s="251">
        <v>8</v>
      </c>
      <c r="E148" s="94" t="s">
        <v>37</v>
      </c>
      <c r="F148" s="95"/>
      <c r="G148" s="89">
        <v>12.61</v>
      </c>
      <c r="H148" s="197">
        <v>12.61</v>
      </c>
      <c r="I148" s="170">
        <v>12.61</v>
      </c>
      <c r="J148" s="90">
        <v>12.61</v>
      </c>
      <c r="K148" s="91">
        <f t="shared" ref="K148:K150" si="20">SUM(G148:J148)</f>
        <v>50.44</v>
      </c>
    </row>
    <row r="149" spans="1:11" s="158" customFormat="1" ht="15.75" customHeight="1" x14ac:dyDescent="0.2">
      <c r="A149" s="79"/>
      <c r="B149" s="221"/>
      <c r="C149" s="222" t="s">
        <v>57</v>
      </c>
      <c r="D149" s="252"/>
      <c r="E149" s="92" t="s">
        <v>43</v>
      </c>
      <c r="F149" s="88">
        <f>1.02*0.05</f>
        <v>5.1000000000000004E-2</v>
      </c>
      <c r="G149" s="83">
        <f>F149*G148</f>
        <v>0.64311000000000007</v>
      </c>
      <c r="H149" s="196">
        <f>F149*H148</f>
        <v>0.64311000000000007</v>
      </c>
      <c r="I149" s="169">
        <f>F149*I148</f>
        <v>0.64311000000000007</v>
      </c>
      <c r="J149" s="84">
        <f>F149*J148</f>
        <v>0.64311000000000007</v>
      </c>
      <c r="K149" s="205">
        <f t="shared" si="20"/>
        <v>2.5724400000000003</v>
      </c>
    </row>
    <row r="150" spans="1:11" s="158" customFormat="1" ht="15.75" customHeight="1" x14ac:dyDescent="0.2">
      <c r="A150" s="116"/>
      <c r="B150" s="223"/>
      <c r="C150" s="224" t="s">
        <v>65</v>
      </c>
      <c r="D150" s="252"/>
      <c r="E150" s="139" t="s">
        <v>39</v>
      </c>
      <c r="F150" s="140">
        <v>0.05</v>
      </c>
      <c r="G150" s="119">
        <f>F150*G148</f>
        <v>0.63050000000000006</v>
      </c>
      <c r="H150" s="199">
        <f>H148*F150</f>
        <v>0.63050000000000006</v>
      </c>
      <c r="I150" s="172">
        <f>I148*F150</f>
        <v>0.63050000000000006</v>
      </c>
      <c r="J150" s="120">
        <f>J148*F150</f>
        <v>0.63050000000000006</v>
      </c>
      <c r="K150" s="118">
        <f t="shared" si="20"/>
        <v>2.5220000000000002</v>
      </c>
    </row>
    <row r="151" spans="1:11" s="158" customFormat="1" ht="15.75" customHeight="1" x14ac:dyDescent="0.2">
      <c r="A151" s="23" t="s">
        <v>181</v>
      </c>
      <c r="B151" s="24"/>
      <c r="C151" s="25" t="s">
        <v>62</v>
      </c>
      <c r="D151" s="47"/>
      <c r="E151" s="26"/>
      <c r="F151" s="26"/>
      <c r="G151" s="48"/>
      <c r="H151" s="26"/>
      <c r="I151" s="26"/>
      <c r="J151" s="26"/>
      <c r="K151" s="49"/>
    </row>
    <row r="152" spans="1:11" s="158" customFormat="1" ht="15.75" customHeight="1" x14ac:dyDescent="0.2">
      <c r="A152" s="30" t="s">
        <v>182</v>
      </c>
      <c r="B152" s="43"/>
      <c r="C152" s="32" t="s">
        <v>64</v>
      </c>
      <c r="D152" s="253">
        <v>12</v>
      </c>
      <c r="E152" s="33" t="s">
        <v>37</v>
      </c>
      <c r="F152" s="34"/>
      <c r="G152" s="190">
        <v>111.6</v>
      </c>
      <c r="H152" s="188">
        <v>156.17999999999998</v>
      </c>
      <c r="I152" s="188">
        <v>156.17999999999998</v>
      </c>
      <c r="J152" s="51">
        <v>123.13</v>
      </c>
      <c r="K152" s="37">
        <f t="shared" ref="K152:K156" si="21">SUM(G152:J152)</f>
        <v>547.08999999999992</v>
      </c>
    </row>
    <row r="153" spans="1:11" s="158" customFormat="1" ht="15.75" customHeight="1" x14ac:dyDescent="0.2">
      <c r="A153" s="42"/>
      <c r="B153" s="218"/>
      <c r="C153" s="217" t="s">
        <v>57</v>
      </c>
      <c r="D153" s="253"/>
      <c r="E153" s="38" t="s">
        <v>43</v>
      </c>
      <c r="F153" s="44">
        <f>1.02*0.03</f>
        <v>3.0599999999999999E-2</v>
      </c>
      <c r="G153" s="50">
        <f>G152*F153</f>
        <v>3.4149599999999998</v>
      </c>
      <c r="H153" s="165">
        <f>H152*F153</f>
        <v>4.779107999999999</v>
      </c>
      <c r="I153" s="165">
        <f>I152*F153</f>
        <v>4.779107999999999</v>
      </c>
      <c r="J153" s="40">
        <f>J152*F153</f>
        <v>3.7677779999999998</v>
      </c>
      <c r="K153" s="41">
        <f t="shared" si="21"/>
        <v>16.740953999999995</v>
      </c>
    </row>
    <row r="154" spans="1:11" s="158" customFormat="1" ht="15.75" customHeight="1" x14ac:dyDescent="0.2">
      <c r="A154" s="42"/>
      <c r="B154" s="218"/>
      <c r="C154" s="217" t="s">
        <v>65</v>
      </c>
      <c r="D154" s="253"/>
      <c r="E154" s="38" t="s">
        <v>39</v>
      </c>
      <c r="F154" s="39">
        <v>0.03</v>
      </c>
      <c r="G154" s="50">
        <f>F154*G152</f>
        <v>3.3479999999999999</v>
      </c>
      <c r="H154" s="165">
        <f>H152*F154</f>
        <v>4.6853999999999996</v>
      </c>
      <c r="I154" s="165">
        <f>I152*F154</f>
        <v>4.6853999999999996</v>
      </c>
      <c r="J154" s="40">
        <f>J152*F154</f>
        <v>3.6938999999999997</v>
      </c>
      <c r="K154" s="41">
        <f t="shared" si="21"/>
        <v>16.412700000000001</v>
      </c>
    </row>
    <row r="155" spans="1:11" s="158" customFormat="1" ht="15.75" customHeight="1" x14ac:dyDescent="0.2">
      <c r="A155" s="30" t="s">
        <v>183</v>
      </c>
      <c r="B155" s="43"/>
      <c r="C155" s="32" t="s">
        <v>60</v>
      </c>
      <c r="D155" s="253"/>
      <c r="E155" s="33" t="s">
        <v>37</v>
      </c>
      <c r="F155" s="34"/>
      <c r="G155" s="190">
        <f>G152</f>
        <v>111.6</v>
      </c>
      <c r="H155" s="188">
        <f>H152</f>
        <v>156.17999999999998</v>
      </c>
      <c r="I155" s="188">
        <f>I152</f>
        <v>156.17999999999998</v>
      </c>
      <c r="J155" s="51">
        <f>J152</f>
        <v>123.13</v>
      </c>
      <c r="K155" s="37">
        <f t="shared" si="21"/>
        <v>547.08999999999992</v>
      </c>
    </row>
    <row r="156" spans="1:11" s="158" customFormat="1" ht="15.75" customHeight="1" thickBot="1" x14ac:dyDescent="0.25">
      <c r="A156" s="52"/>
      <c r="B156" s="219"/>
      <c r="C156" s="220" t="s">
        <v>61</v>
      </c>
      <c r="D156" s="254"/>
      <c r="E156" s="53" t="s">
        <v>53</v>
      </c>
      <c r="F156" s="54">
        <v>0.5</v>
      </c>
      <c r="G156" s="55">
        <f>G155*F156</f>
        <v>55.8</v>
      </c>
      <c r="H156" s="207">
        <f>H155*F156</f>
        <v>78.089999999999989</v>
      </c>
      <c r="I156" s="207">
        <f>I155*F156</f>
        <v>78.089999999999989</v>
      </c>
      <c r="J156" s="56">
        <f>J155*F156</f>
        <v>61.564999999999998</v>
      </c>
      <c r="K156" s="57">
        <f t="shared" si="21"/>
        <v>273.54499999999996</v>
      </c>
    </row>
    <row r="157" spans="1:11" s="158" customFormat="1" ht="15.75" customHeight="1" x14ac:dyDescent="0.25">
      <c r="A157" s="155"/>
      <c r="B157" s="155"/>
      <c r="C157" s="8"/>
      <c r="D157" s="156"/>
      <c r="E157" s="8"/>
      <c r="F157" s="8"/>
      <c r="G157" s="157"/>
      <c r="H157" s="157"/>
      <c r="I157" s="157"/>
      <c r="J157" s="157"/>
      <c r="K157" s="157"/>
    </row>
    <row r="158" spans="1:11" s="72" customFormat="1" ht="15.75" customHeight="1" x14ac:dyDescent="0.25">
      <c r="E158" s="159"/>
      <c r="G158" s="160"/>
      <c r="H158" s="160"/>
      <c r="I158" s="160"/>
      <c r="J158" s="160"/>
      <c r="K158" s="160"/>
    </row>
    <row r="159" spans="1:11" s="72" customFormat="1" ht="15.75" customHeight="1" x14ac:dyDescent="0.25">
      <c r="C159" s="156" t="s">
        <v>98</v>
      </c>
      <c r="D159" s="156"/>
      <c r="E159" s="161"/>
      <c r="F159" s="162"/>
      <c r="G159" s="156" t="s">
        <v>99</v>
      </c>
      <c r="H159" s="156"/>
      <c r="I159" s="156"/>
      <c r="J159" s="160"/>
      <c r="K159" s="160"/>
    </row>
    <row r="160" spans="1:11" s="72" customFormat="1" ht="15.75" customHeight="1" x14ac:dyDescent="0.25">
      <c r="E160" s="159"/>
      <c r="G160" s="160"/>
      <c r="H160" s="160"/>
      <c r="I160" s="160"/>
      <c r="J160" s="160"/>
      <c r="K160" s="160"/>
    </row>
    <row r="161" spans="1:11" s="160" customFormat="1" ht="15.75" x14ac:dyDescent="0.25">
      <c r="A161" s="72"/>
      <c r="B161" s="72"/>
      <c r="C161" s="156" t="s">
        <v>100</v>
      </c>
      <c r="D161" s="156"/>
      <c r="E161" s="161"/>
      <c r="F161" s="162"/>
      <c r="G161" s="156" t="s">
        <v>101</v>
      </c>
      <c r="H161" s="156"/>
      <c r="I161" s="156"/>
    </row>
    <row r="162" spans="1:11" s="160" customFormat="1" ht="15.75" x14ac:dyDescent="0.25">
      <c r="A162" s="72"/>
      <c r="B162" s="72"/>
      <c r="C162" s="156"/>
      <c r="D162" s="156"/>
      <c r="E162" s="163"/>
      <c r="F162" s="156"/>
      <c r="G162" s="156"/>
      <c r="H162" s="156"/>
      <c r="I162" s="156"/>
    </row>
    <row r="163" spans="1:11" s="160" customFormat="1" ht="15.75" x14ac:dyDescent="0.25">
      <c r="A163" s="72"/>
      <c r="B163" s="72"/>
      <c r="C163" s="156" t="s">
        <v>102</v>
      </c>
      <c r="D163" s="156"/>
      <c r="E163" s="161"/>
      <c r="F163" s="162"/>
      <c r="G163" s="156" t="s">
        <v>165</v>
      </c>
      <c r="H163" s="156"/>
      <c r="I163" s="156"/>
    </row>
    <row r="164" spans="1:11" s="72" customFormat="1" ht="12.75" x14ac:dyDescent="0.25">
      <c r="E164" s="159"/>
      <c r="G164" s="160"/>
      <c r="H164" s="160"/>
      <c r="I164" s="160"/>
      <c r="J164" s="160"/>
      <c r="K164" s="160"/>
    </row>
    <row r="165" spans="1:11" s="72" customFormat="1" ht="12.75" x14ac:dyDescent="0.25">
      <c r="E165" s="159"/>
      <c r="G165" s="160"/>
      <c r="H165" s="160"/>
      <c r="I165" s="160"/>
      <c r="J165" s="160"/>
      <c r="K165" s="160"/>
    </row>
    <row r="166" spans="1:11" s="72" customFormat="1" ht="12.75" x14ac:dyDescent="0.25">
      <c r="E166" s="159"/>
      <c r="G166" s="160"/>
      <c r="H166" s="160"/>
      <c r="I166" s="160"/>
      <c r="J166" s="160"/>
      <c r="K166" s="160"/>
    </row>
    <row r="167" spans="1:11" s="72" customFormat="1" ht="12.75" x14ac:dyDescent="0.25">
      <c r="E167" s="159"/>
      <c r="G167" s="160"/>
      <c r="H167" s="160"/>
      <c r="I167" s="160"/>
      <c r="J167" s="160"/>
      <c r="K167" s="160"/>
    </row>
    <row r="168" spans="1:11" s="72" customFormat="1" ht="12.75" x14ac:dyDescent="0.25">
      <c r="E168" s="159"/>
      <c r="G168" s="160"/>
      <c r="H168" s="160"/>
      <c r="I168" s="160"/>
      <c r="J168" s="160"/>
      <c r="K168" s="160"/>
    </row>
  </sheetData>
  <autoFilter ref="A18:K156" xr:uid="{A4EF7C57-1EAF-4181-BB69-355261523809}"/>
  <mergeCells count="30">
    <mergeCell ref="D38:D42"/>
    <mergeCell ref="A11:K12"/>
    <mergeCell ref="B13:K13"/>
    <mergeCell ref="A15:A16"/>
    <mergeCell ref="B15:B16"/>
    <mergeCell ref="C15:C16"/>
    <mergeCell ref="D15:D16"/>
    <mergeCell ref="E15:E16"/>
    <mergeCell ref="F15:F16"/>
    <mergeCell ref="G15:K15"/>
    <mergeCell ref="A17:K17"/>
    <mergeCell ref="D19:D30"/>
    <mergeCell ref="A25:A26"/>
    <mergeCell ref="C25:C26"/>
    <mergeCell ref="D32:D36"/>
    <mergeCell ref="D148:D150"/>
    <mergeCell ref="D152:D156"/>
    <mergeCell ref="D142:D145"/>
    <mergeCell ref="D46:D52"/>
    <mergeCell ref="D54:D62"/>
    <mergeCell ref="D64:D70"/>
    <mergeCell ref="D72:D80"/>
    <mergeCell ref="D82:D90"/>
    <mergeCell ref="D92:D98"/>
    <mergeCell ref="D120:D124"/>
    <mergeCell ref="D126:D132"/>
    <mergeCell ref="D134:D136"/>
    <mergeCell ref="D138:D140"/>
    <mergeCell ref="D100:D106"/>
    <mergeCell ref="D109:D117"/>
  </mergeCells>
  <phoneticPr fontId="1" type="noConversion"/>
  <conditionalFormatting sqref="G72:J80 K47:K52 G137:K140 G66:K70 G142:K143 G144:J144 K144:K145 G81:K90 H136 G119:K132">
    <cfRule type="cellIs" dxfId="63" priority="50" operator="lessThan">
      <formula>0</formula>
    </cfRule>
  </conditionalFormatting>
  <conditionalFormatting sqref="J47:J50">
    <cfRule type="cellIs" dxfId="62" priority="47" operator="lessThan">
      <formula>0</formula>
    </cfRule>
  </conditionalFormatting>
  <conditionalFormatting sqref="G47:I50 G51:G52">
    <cfRule type="cellIs" dxfId="61" priority="48" operator="lessThan">
      <formula>0</formula>
    </cfRule>
  </conditionalFormatting>
  <conditionalFormatting sqref="G45:K46">
    <cfRule type="cellIs" dxfId="60" priority="49" operator="lessThan">
      <formula>0</formula>
    </cfRule>
  </conditionalFormatting>
  <conditionalFormatting sqref="K55:K62">
    <cfRule type="cellIs" dxfId="59" priority="46" operator="lessThan">
      <formula>0</formula>
    </cfRule>
  </conditionalFormatting>
  <conditionalFormatting sqref="J55:J60 J62">
    <cfRule type="cellIs" dxfId="58" priority="44" operator="lessThan">
      <formula>0</formula>
    </cfRule>
  </conditionalFormatting>
  <conditionalFormatting sqref="G53:K53">
    <cfRule type="cellIs" dxfId="57" priority="45" operator="lessThan">
      <formula>0</formula>
    </cfRule>
  </conditionalFormatting>
  <conditionalFormatting sqref="G63:K63">
    <cfRule type="cellIs" dxfId="56" priority="40" operator="lessThan">
      <formula>0</formula>
    </cfRule>
  </conditionalFormatting>
  <conditionalFormatting sqref="K54">
    <cfRule type="cellIs" dxfId="55" priority="43" operator="lessThan">
      <formula>0</formula>
    </cfRule>
  </conditionalFormatting>
  <conditionalFormatting sqref="J54">
    <cfRule type="cellIs" dxfId="54" priority="41" operator="lessThan">
      <formula>0</formula>
    </cfRule>
  </conditionalFormatting>
  <conditionalFormatting sqref="G54:I60 G61:J61 G62:I62">
    <cfRule type="cellIs" dxfId="53" priority="42" operator="lessThan">
      <formula>0</formula>
    </cfRule>
  </conditionalFormatting>
  <conditionalFormatting sqref="K72:K80">
    <cfRule type="cellIs" dxfId="52" priority="39" operator="lessThan">
      <formula>0</formula>
    </cfRule>
  </conditionalFormatting>
  <conditionalFormatting sqref="G71:K71">
    <cfRule type="cellIs" dxfId="51" priority="38" operator="lessThan">
      <formula>0</formula>
    </cfRule>
  </conditionalFormatting>
  <conditionalFormatting sqref="G91:K98 G107:K107">
    <cfRule type="cellIs" dxfId="50" priority="37" operator="lessThan">
      <formula>0</formula>
    </cfRule>
  </conditionalFormatting>
  <conditionalFormatting sqref="G133:K133 G135:K136 K134">
    <cfRule type="cellIs" dxfId="49" priority="35" operator="lessThan">
      <formula>0</formula>
    </cfRule>
  </conditionalFormatting>
  <conditionalFormatting sqref="G141:K141">
    <cfRule type="cellIs" dxfId="48" priority="34" operator="lessThan">
      <formula>0</formula>
    </cfRule>
  </conditionalFormatting>
  <conditionalFormatting sqref="J51">
    <cfRule type="cellIs" dxfId="47" priority="15" operator="lessThan">
      <formula>0</formula>
    </cfRule>
  </conditionalFormatting>
  <conditionalFormatting sqref="H51:I51">
    <cfRule type="cellIs" dxfId="46" priority="16" operator="lessThan">
      <formula>0</formula>
    </cfRule>
  </conditionalFormatting>
  <conditionalFormatting sqref="J52">
    <cfRule type="cellIs" dxfId="45" priority="13" operator="lessThan">
      <formula>0</formula>
    </cfRule>
  </conditionalFormatting>
  <conditionalFormatting sqref="H52:I52">
    <cfRule type="cellIs" dxfId="44" priority="14" operator="lessThan">
      <formula>0</formula>
    </cfRule>
  </conditionalFormatting>
  <conditionalFormatting sqref="K65">
    <cfRule type="cellIs" dxfId="43" priority="12" operator="lessThan">
      <formula>0</formula>
    </cfRule>
  </conditionalFormatting>
  <conditionalFormatting sqref="J65">
    <cfRule type="cellIs" dxfId="42" priority="11" operator="lessThan">
      <formula>0</formula>
    </cfRule>
  </conditionalFormatting>
  <conditionalFormatting sqref="K64">
    <cfRule type="cellIs" dxfId="41" priority="10" operator="lessThan">
      <formula>0</formula>
    </cfRule>
  </conditionalFormatting>
  <conditionalFormatting sqref="J64">
    <cfRule type="cellIs" dxfId="40" priority="8" operator="lessThan">
      <formula>0</formula>
    </cfRule>
  </conditionalFormatting>
  <conditionalFormatting sqref="G64:I65">
    <cfRule type="cellIs" dxfId="39" priority="9" operator="lessThan">
      <formula>0</formula>
    </cfRule>
  </conditionalFormatting>
  <conditionalFormatting sqref="G147:K150">
    <cfRule type="cellIs" dxfId="38" priority="7" operator="lessThan">
      <formula>0</formula>
    </cfRule>
  </conditionalFormatting>
  <conditionalFormatting sqref="G99:K99">
    <cfRule type="cellIs" dxfId="37" priority="6" operator="lessThan">
      <formula>0</formula>
    </cfRule>
  </conditionalFormatting>
  <conditionalFormatting sqref="G100:K106">
    <cfRule type="cellIs" dxfId="36" priority="5" operator="lessThan">
      <formula>0</formula>
    </cfRule>
  </conditionalFormatting>
  <conditionalFormatting sqref="G108:K108">
    <cfRule type="cellIs" dxfId="35" priority="4" operator="lessThan">
      <formula>0</formula>
    </cfRule>
  </conditionalFormatting>
  <conditionalFormatting sqref="G109:J117">
    <cfRule type="cellIs" dxfId="34" priority="3" operator="lessThan">
      <formula>0</formula>
    </cfRule>
  </conditionalFormatting>
  <conditionalFormatting sqref="K109:K117">
    <cfRule type="cellIs" dxfId="33" priority="2" operator="lessThan">
      <formula>0</formula>
    </cfRule>
  </conditionalFormatting>
  <conditionalFormatting sqref="G134:J134">
    <cfRule type="cellIs" dxfId="32" priority="1" operator="lessThan">
      <formula>0</formula>
    </cfRule>
  </conditionalFormatting>
  <pageMargins left="0.51181102362204722" right="0.31496062992125984" top="0.35433070866141736" bottom="0.35433070866141736" header="0.31496062992125984" footer="0.11811023622047245"/>
  <pageSetup paperSize="9" scale="57" fitToHeight="0" orientation="portrait" r:id="rId1"/>
  <rowBreaks count="2" manualBreakCount="2">
    <brk id="70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6995-3DEB-48B0-AB4F-4CB8F05C7F12}">
  <dimension ref="A1:XEG36"/>
  <sheetViews>
    <sheetView topLeftCell="A23" workbookViewId="0">
      <selection activeCell="A37" sqref="A37:XFD43"/>
    </sheetView>
  </sheetViews>
  <sheetFormatPr defaultRowHeight="15" x14ac:dyDescent="0.25"/>
  <cols>
    <col min="2" max="2" width="15.85546875" customWidth="1"/>
    <col min="3" max="3" width="45" customWidth="1"/>
    <col min="4" max="4" width="6.7109375" customWidth="1"/>
    <col min="5" max="5" width="17.5703125" customWidth="1"/>
    <col min="6" max="7" width="9.42578125" bestFit="1" customWidth="1"/>
    <col min="10" max="10" width="12.5703125" customWidth="1"/>
  </cols>
  <sheetData>
    <row r="1" spans="1:16361" ht="15.75" x14ac:dyDescent="0.25">
      <c r="A1" s="3"/>
      <c r="B1" s="3"/>
      <c r="C1" s="3"/>
      <c r="D1" s="3"/>
      <c r="E1" s="5"/>
      <c r="F1" s="6"/>
      <c r="G1" s="7"/>
      <c r="H1" s="6"/>
      <c r="I1" s="7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</row>
    <row r="2" spans="1:16361" ht="15.75" x14ac:dyDescent="0.25">
      <c r="A2" s="4" t="s">
        <v>145</v>
      </c>
      <c r="B2" s="4"/>
      <c r="C2" s="4"/>
      <c r="D2" s="4"/>
      <c r="E2" s="5"/>
      <c r="F2" s="6"/>
      <c r="G2" s="10"/>
      <c r="H2" s="6"/>
      <c r="I2" s="10"/>
      <c r="J2" s="10" t="s">
        <v>16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</row>
    <row r="3" spans="1:16361" ht="15.75" x14ac:dyDescent="0.25">
      <c r="A3" s="9" t="s">
        <v>146</v>
      </c>
      <c r="B3" s="9"/>
      <c r="C3" s="9"/>
      <c r="D3" s="9"/>
      <c r="E3" s="5"/>
      <c r="F3" s="6"/>
      <c r="G3" s="8"/>
      <c r="H3" s="6"/>
      <c r="I3" s="8"/>
      <c r="J3" s="11" t="s">
        <v>19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</row>
    <row r="4" spans="1:16361" ht="15.75" x14ac:dyDescent="0.25">
      <c r="A4" s="4" t="s">
        <v>18</v>
      </c>
      <c r="B4" s="4"/>
      <c r="C4" s="4"/>
      <c r="D4" s="4"/>
      <c r="E4" s="5"/>
      <c r="F4" s="6"/>
      <c r="G4" s="11"/>
      <c r="H4" s="6"/>
      <c r="I4" s="11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</row>
    <row r="5" spans="1:16361" ht="15.75" x14ac:dyDescent="0.25">
      <c r="A5" s="9" t="s">
        <v>147</v>
      </c>
      <c r="B5" s="9"/>
      <c r="C5" s="9"/>
      <c r="D5" s="9"/>
      <c r="E5" s="5"/>
      <c r="F5" s="6"/>
      <c r="G5" s="11"/>
      <c r="H5" s="6"/>
      <c r="I5" s="11"/>
      <c r="J5" s="11" t="s">
        <v>150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</row>
    <row r="6" spans="1:16361" ht="15.75" x14ac:dyDescent="0.25">
      <c r="A6" s="9" t="s">
        <v>148</v>
      </c>
      <c r="B6" s="9"/>
      <c r="C6" s="9"/>
      <c r="D6" s="9"/>
      <c r="E6" s="5"/>
      <c r="F6" s="6"/>
      <c r="G6" s="11"/>
      <c r="H6" s="6"/>
      <c r="I6" s="11"/>
      <c r="J6" s="1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</row>
    <row r="7" spans="1:16361" ht="15.75" x14ac:dyDescent="0.25">
      <c r="A7" s="12" t="s">
        <v>149</v>
      </c>
      <c r="B7" s="12"/>
      <c r="C7" s="12"/>
      <c r="D7" s="12"/>
      <c r="E7" s="5"/>
      <c r="F7" s="6"/>
      <c r="G7" s="11"/>
      <c r="H7" s="6"/>
      <c r="I7" s="11"/>
      <c r="J7" s="11" t="s">
        <v>24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</row>
    <row r="8" spans="1:16361" ht="27.75" x14ac:dyDescent="0.4">
      <c r="A8" s="15"/>
      <c r="B8" s="15"/>
      <c r="C8" s="15"/>
      <c r="D8" s="15"/>
      <c r="E8" s="5"/>
      <c r="F8" s="6"/>
      <c r="G8" s="11"/>
      <c r="H8" s="6"/>
      <c r="I8" s="11"/>
      <c r="J8" s="1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</row>
    <row r="9" spans="1:16361" ht="27.75" x14ac:dyDescent="0.4">
      <c r="A9" s="15"/>
      <c r="B9" s="15"/>
      <c r="C9" s="15"/>
      <c r="D9" s="15"/>
      <c r="E9" s="5"/>
      <c r="F9" s="6"/>
      <c r="G9" s="11"/>
      <c r="H9" s="6"/>
      <c r="I9" s="11"/>
      <c r="J9" s="11" t="s">
        <v>25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</row>
    <row r="10" spans="1:16361" ht="15.75" x14ac:dyDescent="0.25">
      <c r="A10" s="3"/>
      <c r="B10" s="3"/>
      <c r="C10" s="3"/>
      <c r="D10" s="3"/>
      <c r="E10" s="5"/>
      <c r="F10" s="6"/>
      <c r="G10" s="7"/>
      <c r="H10" s="6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</row>
    <row r="13" spans="1:16361" ht="20.25" x14ac:dyDescent="0.3">
      <c r="A13" s="283" t="s">
        <v>156</v>
      </c>
      <c r="B13" s="283"/>
      <c r="C13" s="283"/>
      <c r="D13" s="283"/>
      <c r="E13" s="283"/>
      <c r="F13" s="283"/>
      <c r="G13" s="283"/>
      <c r="H13" s="283"/>
      <c r="I13" s="283"/>
      <c r="J13" s="283"/>
    </row>
    <row r="14" spans="1:16361" ht="20.25" x14ac:dyDescent="0.3">
      <c r="A14" s="284" t="s">
        <v>157</v>
      </c>
      <c r="B14" s="284"/>
      <c r="C14" s="284"/>
      <c r="D14" s="284"/>
      <c r="E14" s="284"/>
      <c r="F14" s="284"/>
      <c r="G14" s="284"/>
      <c r="H14" s="284"/>
      <c r="I14" s="284"/>
      <c r="J14" s="284"/>
    </row>
    <row r="15" spans="1:16361" ht="20.25" x14ac:dyDescent="0.3">
      <c r="A15" s="284" t="s">
        <v>158</v>
      </c>
      <c r="B15" s="284"/>
      <c r="C15" s="284"/>
      <c r="D15" s="284"/>
      <c r="E15" s="284"/>
      <c r="F15" s="284"/>
      <c r="G15" s="284"/>
      <c r="H15" s="284"/>
      <c r="I15" s="284"/>
      <c r="J15" s="284"/>
    </row>
    <row r="16" spans="1:16361" ht="15.75" thickBot="1" x14ac:dyDescent="0.3">
      <c r="A16" s="208"/>
      <c r="B16" s="208"/>
      <c r="C16" s="208"/>
      <c r="D16" s="208"/>
      <c r="E16" s="208"/>
      <c r="F16" s="208"/>
      <c r="G16" s="208"/>
      <c r="H16" s="208"/>
      <c r="I16" s="208"/>
      <c r="J16" s="208"/>
    </row>
    <row r="17" spans="1:16361" ht="51.75" customHeight="1" x14ac:dyDescent="0.25">
      <c r="A17" s="285" t="s">
        <v>26</v>
      </c>
      <c r="B17" s="287" t="s">
        <v>27</v>
      </c>
      <c r="C17" s="289" t="s">
        <v>28</v>
      </c>
      <c r="D17" s="289" t="s">
        <v>151</v>
      </c>
      <c r="E17" s="289" t="s">
        <v>31</v>
      </c>
      <c r="F17" s="289" t="s">
        <v>164</v>
      </c>
      <c r="G17" s="289"/>
      <c r="H17" s="291"/>
      <c r="I17" s="291"/>
      <c r="J17" s="29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</row>
    <row r="18" spans="1:16361" ht="57" customHeight="1" x14ac:dyDescent="0.25">
      <c r="A18" s="286"/>
      <c r="B18" s="288"/>
      <c r="C18" s="290"/>
      <c r="D18" s="290"/>
      <c r="E18" s="290"/>
      <c r="F18" s="209" t="s">
        <v>152</v>
      </c>
      <c r="G18" s="209" t="s">
        <v>153</v>
      </c>
      <c r="H18" s="209" t="s">
        <v>154</v>
      </c>
      <c r="I18" s="209" t="s">
        <v>155</v>
      </c>
      <c r="J18" s="210" t="s">
        <v>34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</row>
    <row r="19" spans="1:16361" x14ac:dyDescent="0.25">
      <c r="A19" s="1"/>
      <c r="B19" s="1"/>
      <c r="C19" s="1" t="s">
        <v>159</v>
      </c>
      <c r="D19" s="1" t="s">
        <v>53</v>
      </c>
      <c r="E19" s="1"/>
      <c r="F19" s="2">
        <f>ВОР!G145</f>
        <v>47.88</v>
      </c>
      <c r="G19" s="2">
        <f>ВОР!H145</f>
        <v>48.28</v>
      </c>
      <c r="H19" s="2">
        <f>ВОР!I145</f>
        <v>51.120000000000005</v>
      </c>
      <c r="I19" s="2">
        <f>ВОР!J145</f>
        <v>40.32</v>
      </c>
      <c r="J19" s="214">
        <f>SUM(F19:I19)</f>
        <v>187.6</v>
      </c>
    </row>
    <row r="20" spans="1:16361" x14ac:dyDescent="0.25">
      <c r="A20" s="1"/>
      <c r="B20" s="1"/>
      <c r="C20" s="1" t="s">
        <v>160</v>
      </c>
      <c r="D20" s="1" t="s">
        <v>43</v>
      </c>
      <c r="E20" s="1"/>
      <c r="F20" s="214">
        <f>ВОР!G27</f>
        <v>0</v>
      </c>
      <c r="G20" s="214">
        <f>ВОР!H27</f>
        <v>15.060874499999999</v>
      </c>
      <c r="H20" s="214">
        <f>ВОР!I27</f>
        <v>4.247774999999999</v>
      </c>
      <c r="I20" s="214">
        <f>ВОР!J27</f>
        <v>0</v>
      </c>
      <c r="J20" s="214">
        <f t="shared" ref="J20:J36" si="0">SUM(F20:I20)</f>
        <v>19.308649499999998</v>
      </c>
    </row>
    <row r="21" spans="1:16361" ht="30" x14ac:dyDescent="0.25">
      <c r="A21" s="1"/>
      <c r="B21" s="1"/>
      <c r="C21" s="215" t="s">
        <v>38</v>
      </c>
      <c r="D21" s="1" t="s">
        <v>39</v>
      </c>
      <c r="E21" s="1"/>
      <c r="F21" s="214"/>
      <c r="G21" s="214">
        <f>ВОР!H20</f>
        <v>1318.96</v>
      </c>
      <c r="H21" s="214">
        <f>ВОР!I20</f>
        <v>372</v>
      </c>
      <c r="I21" s="214"/>
      <c r="J21" s="214">
        <f t="shared" si="0"/>
        <v>1690.96</v>
      </c>
    </row>
    <row r="22" spans="1:16361" x14ac:dyDescent="0.25">
      <c r="A22" s="1"/>
      <c r="B22" s="1"/>
      <c r="C22" s="215" t="s">
        <v>83</v>
      </c>
      <c r="D22" s="1" t="s">
        <v>161</v>
      </c>
      <c r="E22" s="1"/>
      <c r="F22" s="214">
        <f>ВОР!G85</f>
        <v>6.12</v>
      </c>
      <c r="G22" s="214">
        <f>ВОР!H85</f>
        <v>6.4565999999999999</v>
      </c>
      <c r="H22" s="214">
        <f>ВОР!I85</f>
        <v>6.4565999999999999</v>
      </c>
      <c r="I22" s="214">
        <f>ВОР!J85</f>
        <v>5.0337000000000005</v>
      </c>
      <c r="J22" s="214">
        <f t="shared" si="0"/>
        <v>24.0669</v>
      </c>
    </row>
    <row r="23" spans="1:16361" x14ac:dyDescent="0.25">
      <c r="A23" s="1"/>
      <c r="B23" s="1"/>
      <c r="C23" s="215" t="s">
        <v>90</v>
      </c>
      <c r="D23" s="1" t="s">
        <v>37</v>
      </c>
      <c r="E23" s="1"/>
      <c r="F23" s="214">
        <f>ВОР!G121+ВОР!G127</f>
        <v>9860.3120000000017</v>
      </c>
      <c r="G23" s="214">
        <f>ВОР!H121+ВОР!H127</f>
        <v>8535.5490000000009</v>
      </c>
      <c r="H23" s="214">
        <f>ВОР!I121+ВОР!I127</f>
        <v>9444.974000000002</v>
      </c>
      <c r="I23" s="214">
        <f>ВОР!J121+ВОР!J127</f>
        <v>8485.18</v>
      </c>
      <c r="J23" s="214">
        <f t="shared" si="0"/>
        <v>36326.015000000007</v>
      </c>
    </row>
    <row r="24" spans="1:16361" ht="30" x14ac:dyDescent="0.25">
      <c r="A24" s="1"/>
      <c r="B24" s="1"/>
      <c r="C24" s="215" t="s">
        <v>42</v>
      </c>
      <c r="D24" s="1" t="s">
        <v>37</v>
      </c>
      <c r="E24" s="1"/>
      <c r="F24" s="214">
        <f>ВОР!G22</f>
        <v>0</v>
      </c>
      <c r="G24" s="214">
        <f>ВОР!H22</f>
        <v>9.0119550000000022</v>
      </c>
      <c r="H24" s="214">
        <f>ВОР!I22</f>
        <v>2.5587719999999998</v>
      </c>
      <c r="I24" s="214">
        <f>ВОР!J22</f>
        <v>0</v>
      </c>
      <c r="J24" s="214">
        <f t="shared" si="0"/>
        <v>11.570727000000002</v>
      </c>
    </row>
    <row r="25" spans="1:16361" ht="30" x14ac:dyDescent="0.25">
      <c r="A25" s="1"/>
      <c r="B25" s="1"/>
      <c r="C25" s="215" t="s">
        <v>80</v>
      </c>
      <c r="D25" s="1" t="s">
        <v>43</v>
      </c>
      <c r="E25" s="1"/>
      <c r="F25" s="214">
        <f>ВОР!G83</f>
        <v>0.20400000000000001</v>
      </c>
      <c r="G25" s="214">
        <f>ВОР!H83</f>
        <v>0.21521999999999999</v>
      </c>
      <c r="H25" s="214">
        <f>ВОР!I83</f>
        <v>0.21521999999999999</v>
      </c>
      <c r="I25" s="214">
        <f>ВОР!J83</f>
        <v>0.16779000000000002</v>
      </c>
      <c r="J25" s="214">
        <f t="shared" si="0"/>
        <v>0.80223</v>
      </c>
    </row>
    <row r="26" spans="1:16361" x14ac:dyDescent="0.25">
      <c r="A26" s="1"/>
      <c r="B26" s="1"/>
      <c r="C26" s="215" t="s">
        <v>74</v>
      </c>
      <c r="D26" s="1" t="s">
        <v>39</v>
      </c>
      <c r="E26" s="1"/>
      <c r="F26" s="214">
        <f>ВОР!G62+ВОР!G73+ВОР!G132</f>
        <v>3290.5155999999997</v>
      </c>
      <c r="G26" s="214">
        <f>ВОР!H62+ВОР!H73+ВОР!H132</f>
        <v>2918.9383999999995</v>
      </c>
      <c r="H26" s="214">
        <f>ВОР!I62+ВОР!I73+ВОР!I132</f>
        <v>2998.3150000000001</v>
      </c>
      <c r="I26" s="214">
        <f>ВОР!J62+ВОР!J73+ВОР!J132</f>
        <v>2813.4753999999998</v>
      </c>
      <c r="J26" s="214">
        <f t="shared" si="0"/>
        <v>12021.2444</v>
      </c>
    </row>
    <row r="27" spans="1:16361" x14ac:dyDescent="0.25">
      <c r="A27" s="1"/>
      <c r="B27" s="1"/>
      <c r="C27" s="215" t="s">
        <v>46</v>
      </c>
      <c r="D27" s="1" t="s">
        <v>37</v>
      </c>
      <c r="E27" s="1"/>
      <c r="F27" s="214">
        <f>ВОР!G24+ВОР!G49+ВОР!G57+ВОР!G67+ВОР!G77+ВОР!G87+ВОР!G95</f>
        <v>648.91199999999992</v>
      </c>
      <c r="G27" s="214">
        <f>ВОР!H24+ВОР!H49+ВОР!H57+ВОР!H67+ВОР!H77+ВОР!H87+ВОР!H95</f>
        <v>773.3660000000001</v>
      </c>
      <c r="H27" s="214">
        <f>ВОР!I24+ВОР!I49+ВОР!I57+ВОР!I67+ВОР!I77+ВОР!I87+ВОР!I95</f>
        <v>668.83300000000008</v>
      </c>
      <c r="I27" s="214">
        <f>ВОР!J24+ВОР!J49+ВОР!J57+ВОР!J67+ВОР!J77+ВОР!J87+ВОР!J95</f>
        <v>657.59980000000007</v>
      </c>
      <c r="J27" s="214">
        <f t="shared" si="0"/>
        <v>2748.7107999999998</v>
      </c>
    </row>
    <row r="28" spans="1:16361" x14ac:dyDescent="0.25">
      <c r="A28" s="1"/>
      <c r="B28" s="1"/>
      <c r="C28" s="215" t="s">
        <v>52</v>
      </c>
      <c r="D28" s="1" t="s">
        <v>53</v>
      </c>
      <c r="E28" s="1"/>
      <c r="F28" s="214">
        <f>ВОР!G30</f>
        <v>0</v>
      </c>
      <c r="G28" s="214">
        <f>ВОР!H30</f>
        <v>82.435000000000002</v>
      </c>
      <c r="H28" s="214">
        <f>ВОР!I30</f>
        <v>23.25</v>
      </c>
      <c r="I28" s="214">
        <f>ВОР!J30</f>
        <v>0</v>
      </c>
      <c r="J28" s="214">
        <f t="shared" si="0"/>
        <v>105.685</v>
      </c>
    </row>
    <row r="29" spans="1:16361" x14ac:dyDescent="0.25">
      <c r="A29" s="1"/>
      <c r="B29" s="1"/>
      <c r="C29" s="215" t="s">
        <v>162</v>
      </c>
      <c r="D29" s="1" t="s">
        <v>37</v>
      </c>
      <c r="E29" s="1"/>
      <c r="F29" s="214">
        <f>ВОР!G28+ВОР!G90</f>
        <v>4.4000000000000004</v>
      </c>
      <c r="G29" s="214">
        <f>ВОР!H28+ВОР!H90</f>
        <v>181.68843880000003</v>
      </c>
      <c r="H29" s="214">
        <f>ВОР!I28+ВОР!I90</f>
        <v>51.481438800000006</v>
      </c>
      <c r="I29" s="214">
        <f>ВОР!J28+ВОР!J90</f>
        <v>3.6190000000000002</v>
      </c>
      <c r="J29" s="214">
        <f t="shared" si="0"/>
        <v>241.18887760000004</v>
      </c>
    </row>
    <row r="30" spans="1:16361" x14ac:dyDescent="0.25">
      <c r="A30" s="1"/>
      <c r="B30" s="1"/>
      <c r="C30" s="215" t="s">
        <v>162</v>
      </c>
      <c r="D30" s="1" t="s">
        <v>37</v>
      </c>
      <c r="E30" s="1"/>
      <c r="F30" s="214">
        <f>ВОР!G34</f>
        <v>6.2810000000000006</v>
      </c>
      <c r="G30" s="214">
        <f>ВОР!H34</f>
        <v>3.234</v>
      </c>
      <c r="H30" s="214">
        <f>ВОР!I34</f>
        <v>3.2494000000000001</v>
      </c>
      <c r="I30" s="214">
        <f>ВОР!J34</f>
        <v>6.2810000000000015</v>
      </c>
      <c r="J30" s="214">
        <f t="shared" si="0"/>
        <v>19.045400000000001</v>
      </c>
    </row>
    <row r="31" spans="1:16361" x14ac:dyDescent="0.25">
      <c r="A31" s="1"/>
      <c r="B31" s="1"/>
      <c r="C31" s="215" t="s">
        <v>65</v>
      </c>
      <c r="D31" s="1" t="s">
        <v>39</v>
      </c>
      <c r="E31" s="1"/>
      <c r="F31" s="214">
        <f>ВОР!G40+ВОР!G52+ВОР!G60+ВОР!G70+ВОР!G80+ВОР!G98+ВОР!G124+ВОР!G130+ВОР!G136+ВОР!G140+ВОР!G144+ВОР!G150+ВОР!G154</f>
        <v>715.66141126000002</v>
      </c>
      <c r="G31" s="214">
        <f>ВОР!H40+ВОР!H52+ВОР!H60+ВОР!H70+ВОР!H80+ВОР!H98+ВОР!H124+ВОР!H130+ВОР!H136+ВОР!H140+ВОР!H144+ВОР!H150+ВОР!H154</f>
        <v>229.60350782</v>
      </c>
      <c r="H31" s="214">
        <f>ВОР!I40+ВОР!I52+ВОР!I60+ВОР!I70+ВОР!I80+ВОР!I98+ВОР!I124+ВОР!I130+ВОР!I136+ВОР!I140+ВОР!I144+ВОР!I150+ВОР!I154</f>
        <v>245.64705906</v>
      </c>
      <c r="I31" s="214">
        <f>ВОР!J40+ВОР!J52+ВОР!J60+ВОР!J70+ВОР!J80+ВОР!J98+ВОР!J124+ВОР!J130+ВОР!J136+ВОР!J140+ВОР!J144+ВОР!J150+ВОР!J154</f>
        <v>221.37187380400005</v>
      </c>
      <c r="J31" s="214">
        <f t="shared" si="0"/>
        <v>1412.2838519439999</v>
      </c>
    </row>
    <row r="32" spans="1:16361" x14ac:dyDescent="0.25">
      <c r="A32" s="1"/>
      <c r="B32" s="1"/>
      <c r="C32" s="215" t="s">
        <v>163</v>
      </c>
      <c r="D32" s="1" t="s">
        <v>53</v>
      </c>
      <c r="E32" s="1"/>
      <c r="F32" s="214">
        <f>ВОР!G36+ВОР!G42+ВОР!G156</f>
        <v>377.68</v>
      </c>
      <c r="G32" s="214">
        <f>ВОР!H36+ВОР!H42+ВОР!H156</f>
        <v>291.70999999999998</v>
      </c>
      <c r="H32" s="214">
        <f>ВОР!I36+ВОР!I42+ВОР!I156</f>
        <v>360.14199999999994</v>
      </c>
      <c r="I32" s="214">
        <f>ВОР!J36+ВОР!J42+ВОР!J156</f>
        <v>389.375</v>
      </c>
      <c r="J32" s="214">
        <f t="shared" si="0"/>
        <v>1418.9069999999999</v>
      </c>
    </row>
    <row r="33" spans="1:10" x14ac:dyDescent="0.25">
      <c r="A33" s="1"/>
      <c r="B33" s="1"/>
      <c r="C33" s="215" t="s">
        <v>57</v>
      </c>
      <c r="D33" s="1" t="s">
        <v>43</v>
      </c>
      <c r="E33" s="1"/>
      <c r="F33" s="214">
        <f>ВОР!G33+ВОР!G39+ВОР!G51+ВОР!G59+ВОР!G69+ВОР!G79+ВОР!G97+ВОР!G123+ВОР!G129+ВОР!G135+ВОР!G139+ВОР!G143+ВОР!G149+ВОР!G153</f>
        <v>741.61191000000008</v>
      </c>
      <c r="G33" s="214">
        <f>ВОР!H33+ВОР!H39+ВОР!H51+ВОР!H59+ВОР!H69+ВОР!H79+ВОР!H97+ВОР!H123+ВОР!H129+ВОР!H135+ВОР!H139+ВОР!H143+ВОР!H149+ВОР!H153</f>
        <v>665.15821799999981</v>
      </c>
      <c r="H33" s="214">
        <f>ВОР!I33+ВОР!I39+ВОР!I51+ВОР!I59+ВОР!I69+ВОР!I79+ВОР!I97+ВОР!I123+ВОР!I129+ВОР!I135+ВОР!I139+ВОР!I143+ВОР!I149+ВОР!I153</f>
        <v>729.51509759999976</v>
      </c>
      <c r="I33" s="214">
        <f>ВОР!J33+ВОР!J39+ВОР!J51+ВОР!J59+ВОР!J69+ВОР!J79+ВОР!J97+ВОР!J123+ВОР!J129+ВОР!J135+ВОР!J139+ВОР!J143+ВОР!J149+ВОР!J153</f>
        <v>659.48544719999995</v>
      </c>
      <c r="J33" s="214">
        <f t="shared" si="0"/>
        <v>2795.7706727999994</v>
      </c>
    </row>
    <row r="34" spans="1:10" x14ac:dyDescent="0.25">
      <c r="A34" s="1"/>
      <c r="B34" s="1"/>
      <c r="C34" s="215" t="s">
        <v>84</v>
      </c>
      <c r="D34" s="1" t="s">
        <v>43</v>
      </c>
      <c r="E34" s="1"/>
      <c r="F34" s="214">
        <f>ВОР!G89</f>
        <v>0.28560000000000002</v>
      </c>
      <c r="G34" s="214">
        <f>ВОР!H89</f>
        <v>0.30130800000000002</v>
      </c>
      <c r="H34" s="214">
        <f>ВОР!I89</f>
        <v>0.30130800000000002</v>
      </c>
      <c r="I34" s="214">
        <f>ВОР!J89</f>
        <v>0.23490600000000003</v>
      </c>
      <c r="J34" s="214">
        <f t="shared" si="0"/>
        <v>1.123122</v>
      </c>
    </row>
    <row r="35" spans="1:10" ht="30" x14ac:dyDescent="0.25">
      <c r="A35" s="1"/>
      <c r="B35" s="1"/>
      <c r="C35" s="215" t="s">
        <v>69</v>
      </c>
      <c r="D35" s="1" t="s">
        <v>43</v>
      </c>
      <c r="E35" s="1"/>
      <c r="F35" s="214">
        <f>ВОР!G47+ВОР!G55+ВОР!G65+ВОР!G75</f>
        <v>46.794336000000001</v>
      </c>
      <c r="G35" s="214">
        <f>ВОР!H47+ВОР!H55+ВОР!H65+ВОР!H75</f>
        <v>42.555216000000001</v>
      </c>
      <c r="H35" s="214">
        <f>ВОР!I47+ВОР!I55+ВОР!I65+ВОР!I75</f>
        <v>44.459760000000003</v>
      </c>
      <c r="I35" s="214">
        <f>ВОР!J47+ВОР!J55+ВОР!J65+ВОР!J75</f>
        <v>47.496748799999999</v>
      </c>
      <c r="J35" s="214">
        <f t="shared" si="0"/>
        <v>181.30606080000001</v>
      </c>
    </row>
    <row r="36" spans="1:10" ht="30" x14ac:dyDescent="0.25">
      <c r="A36" s="1"/>
      <c r="B36" s="1"/>
      <c r="C36" s="215" t="s">
        <v>88</v>
      </c>
      <c r="D36" s="1" t="s">
        <v>43</v>
      </c>
      <c r="E36" s="1"/>
      <c r="F36" s="214">
        <f>ВОР!G93</f>
        <v>0.63546000000000014</v>
      </c>
      <c r="G36" s="214">
        <f>ВОР!H93</f>
        <v>0.63546000000000014</v>
      </c>
      <c r="H36" s="214">
        <f>ВОР!I93</f>
        <v>0.63546000000000014</v>
      </c>
      <c r="I36" s="214">
        <f>ВОР!J93</f>
        <v>0.63546000000000014</v>
      </c>
      <c r="J36" s="214">
        <f t="shared" si="0"/>
        <v>2.5418400000000005</v>
      </c>
    </row>
  </sheetData>
  <mergeCells count="9">
    <mergeCell ref="A13:J13"/>
    <mergeCell ref="A14:J14"/>
    <mergeCell ref="A15:J15"/>
    <mergeCell ref="A17:A18"/>
    <mergeCell ref="B17:B18"/>
    <mergeCell ref="C17:C18"/>
    <mergeCell ref="D17:D18"/>
    <mergeCell ref="E17:E18"/>
    <mergeCell ref="F17:J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3DB2-DC49-4BF0-B54F-A51ED766AB61}">
  <sheetPr>
    <pageSetUpPr fitToPage="1"/>
  </sheetPr>
  <dimension ref="A1:O167"/>
  <sheetViews>
    <sheetView tabSelected="1" view="pageBreakPreview" zoomScale="130" zoomScaleNormal="100" zoomScaleSheetLayoutView="130" workbookViewId="0">
      <selection activeCell="L15" sqref="L15:O16"/>
    </sheetView>
  </sheetViews>
  <sheetFormatPr defaultRowHeight="15" x14ac:dyDescent="0.25"/>
  <cols>
    <col min="3" max="3" width="60.28515625" customWidth="1"/>
    <col min="5" max="5" width="8.42578125" customWidth="1"/>
    <col min="6" max="6" width="14.85546875" customWidth="1"/>
    <col min="7" max="7" width="11.28515625" customWidth="1"/>
    <col min="11" max="11" width="16.5703125" customWidth="1"/>
    <col min="12" max="12" width="10.85546875" customWidth="1"/>
  </cols>
  <sheetData>
    <row r="1" spans="1:15" s="8" customFormat="1" ht="15" customHeight="1" x14ac:dyDescent="0.25">
      <c r="A1" s="3"/>
      <c r="B1" s="3"/>
      <c r="C1" s="3"/>
      <c r="D1" s="4"/>
      <c r="E1" s="3"/>
      <c r="F1" s="5"/>
      <c r="G1" s="6"/>
      <c r="H1" s="6"/>
      <c r="I1" s="6"/>
      <c r="J1" s="7"/>
      <c r="K1" s="7"/>
    </row>
    <row r="2" spans="1:15" s="8" customFormat="1" ht="15" customHeight="1" x14ac:dyDescent="0.25">
      <c r="A2" s="4" t="s">
        <v>15</v>
      </c>
      <c r="B2" s="4"/>
      <c r="C2" s="4"/>
      <c r="D2" s="9"/>
      <c r="E2" s="4"/>
      <c r="F2" s="5"/>
      <c r="G2" s="6"/>
      <c r="H2" s="6"/>
      <c r="I2" s="6"/>
      <c r="J2" s="10"/>
      <c r="K2" s="10"/>
    </row>
    <row r="3" spans="1:15" s="8" customFormat="1" ht="15" customHeight="1" x14ac:dyDescent="0.25">
      <c r="A3" s="9" t="s">
        <v>17</v>
      </c>
      <c r="B3" s="9"/>
      <c r="C3" s="9"/>
      <c r="D3" s="4"/>
      <c r="E3" s="9"/>
      <c r="F3" s="5"/>
      <c r="G3" s="6"/>
      <c r="H3" s="6"/>
      <c r="I3" s="6"/>
      <c r="K3" s="11"/>
    </row>
    <row r="4" spans="1:15" s="8" customFormat="1" ht="15" customHeight="1" x14ac:dyDescent="0.25">
      <c r="A4" s="4" t="s">
        <v>18</v>
      </c>
      <c r="B4" s="4"/>
      <c r="C4" s="4"/>
      <c r="D4" s="9"/>
      <c r="E4" s="4"/>
      <c r="F4" s="5"/>
      <c r="G4" s="6"/>
      <c r="H4" s="6"/>
      <c r="I4" s="6"/>
      <c r="J4" s="11"/>
      <c r="K4" s="11"/>
    </row>
    <row r="5" spans="1:15" s="8" customFormat="1" ht="15" customHeight="1" x14ac:dyDescent="0.25">
      <c r="A5" s="9" t="s">
        <v>20</v>
      </c>
      <c r="B5" s="9"/>
      <c r="C5" s="9"/>
      <c r="D5" s="9"/>
      <c r="E5" s="9"/>
      <c r="F5" s="5"/>
      <c r="G5" s="6"/>
      <c r="H5" s="6"/>
      <c r="I5" s="6"/>
      <c r="J5" s="11"/>
      <c r="K5" s="11"/>
    </row>
    <row r="6" spans="1:15" s="8" customFormat="1" ht="15" customHeight="1" x14ac:dyDescent="0.25">
      <c r="A6" s="9" t="s">
        <v>22</v>
      </c>
      <c r="B6" s="9"/>
      <c r="C6" s="9"/>
      <c r="D6" s="12"/>
      <c r="E6" s="9"/>
      <c r="F6" s="5"/>
      <c r="G6" s="6"/>
      <c r="H6" s="6"/>
      <c r="I6" s="6"/>
      <c r="J6" s="11"/>
      <c r="K6" s="13"/>
    </row>
    <row r="7" spans="1:15" s="8" customFormat="1" ht="15" customHeight="1" x14ac:dyDescent="0.25">
      <c r="A7" s="3" t="s">
        <v>23</v>
      </c>
      <c r="B7" s="3"/>
      <c r="C7" s="3"/>
      <c r="D7" s="14"/>
      <c r="E7" s="3"/>
      <c r="F7" s="5"/>
      <c r="G7" s="6"/>
      <c r="H7" s="6"/>
      <c r="I7" s="6"/>
      <c r="J7" s="11"/>
      <c r="K7" s="11"/>
      <c r="L7" s="307"/>
      <c r="M7" s="307"/>
      <c r="N7" s="307"/>
      <c r="O7" s="307"/>
    </row>
    <row r="8" spans="1:15" s="8" customFormat="1" ht="15" customHeight="1" x14ac:dyDescent="0.4">
      <c r="A8" s="15"/>
      <c r="B8" s="15"/>
      <c r="C8" s="15"/>
      <c r="D8" s="15"/>
      <c r="E8" s="15"/>
      <c r="F8" s="5"/>
      <c r="G8" s="6"/>
      <c r="H8" s="6"/>
      <c r="I8" s="6"/>
      <c r="J8" s="11"/>
      <c r="K8" s="11"/>
      <c r="L8" s="307"/>
      <c r="M8" s="307"/>
      <c r="N8" s="307"/>
      <c r="O8" s="307"/>
    </row>
    <row r="9" spans="1:15" s="8" customFormat="1" ht="15" customHeight="1" x14ac:dyDescent="0.4">
      <c r="A9" s="15"/>
      <c r="B9" s="15"/>
      <c r="C9" s="15"/>
      <c r="D9" s="3"/>
      <c r="E9" s="15"/>
      <c r="F9" s="5"/>
      <c r="G9" s="6"/>
      <c r="H9" s="6"/>
      <c r="I9" s="6"/>
      <c r="J9" s="11"/>
      <c r="K9" s="11"/>
      <c r="L9" s="307"/>
      <c r="M9" s="307"/>
      <c r="N9" s="307"/>
      <c r="O9" s="307"/>
    </row>
    <row r="10" spans="1:15" s="8" customFormat="1" ht="15" customHeight="1" x14ac:dyDescent="0.25">
      <c r="A10" s="3"/>
      <c r="B10" s="3"/>
      <c r="C10" s="3"/>
      <c r="D10" s="245"/>
      <c r="E10" s="3"/>
      <c r="F10" s="5"/>
      <c r="G10" s="6"/>
      <c r="H10" s="6"/>
      <c r="I10" s="6"/>
      <c r="J10" s="7"/>
      <c r="K10" s="7"/>
      <c r="L10" s="307"/>
      <c r="M10" s="307"/>
      <c r="N10" s="307"/>
      <c r="O10" s="307"/>
    </row>
    <row r="11" spans="1:15" s="8" customFormat="1" ht="15" customHeight="1" x14ac:dyDescent="0.25">
      <c r="A11" s="261" t="s">
        <v>195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307"/>
      <c r="M11" s="307"/>
      <c r="N11" s="307"/>
      <c r="O11" s="307"/>
    </row>
    <row r="12" spans="1:15" s="8" customFormat="1" ht="15" customHeight="1" x14ac:dyDescent="0.25">
      <c r="A12" s="261"/>
      <c r="B12" s="261"/>
      <c r="C12" s="261"/>
      <c r="D12" s="262"/>
      <c r="E12" s="261"/>
      <c r="F12" s="261"/>
      <c r="G12" s="261"/>
      <c r="H12" s="261"/>
      <c r="I12" s="261"/>
      <c r="J12" s="261"/>
      <c r="K12" s="261"/>
    </row>
    <row r="13" spans="1:15" s="8" customFormat="1" ht="30" customHeight="1" x14ac:dyDescent="0.25">
      <c r="B13" s="262" t="s">
        <v>104</v>
      </c>
      <c r="C13" s="262"/>
      <c r="D13" s="263"/>
      <c r="E13" s="262"/>
      <c r="F13" s="262"/>
      <c r="G13" s="262"/>
      <c r="H13" s="262"/>
      <c r="I13" s="262"/>
      <c r="J13" s="262"/>
      <c r="K13" s="262"/>
    </row>
    <row r="14" spans="1:15" s="8" customFormat="1" ht="18" customHeight="1" thickBot="1" x14ac:dyDescent="0.3">
      <c r="A14" s="246"/>
      <c r="B14" s="18" t="s">
        <v>103</v>
      </c>
      <c r="C14" s="19"/>
      <c r="D14" s="20"/>
      <c r="E14" s="19"/>
      <c r="F14" s="19"/>
      <c r="G14" s="19"/>
      <c r="H14" s="19"/>
      <c r="I14" s="19"/>
      <c r="J14" s="19"/>
      <c r="K14" s="19"/>
    </row>
    <row r="15" spans="1:15" s="6" customFormat="1" ht="40.5" customHeight="1" x14ac:dyDescent="0.25">
      <c r="A15" s="264" t="s">
        <v>26</v>
      </c>
      <c r="B15" s="266" t="s">
        <v>27</v>
      </c>
      <c r="C15" s="268" t="s">
        <v>28</v>
      </c>
      <c r="D15" s="268" t="s">
        <v>29</v>
      </c>
      <c r="E15" s="268" t="s">
        <v>30</v>
      </c>
      <c r="F15" s="270" t="s">
        <v>31</v>
      </c>
      <c r="G15" s="272" t="s">
        <v>186</v>
      </c>
      <c r="H15" s="273"/>
      <c r="I15" s="273"/>
      <c r="J15" s="273"/>
      <c r="K15" s="273"/>
      <c r="L15" s="305" t="s">
        <v>191</v>
      </c>
      <c r="M15" s="305" t="s">
        <v>192</v>
      </c>
      <c r="N15" s="305" t="s">
        <v>193</v>
      </c>
      <c r="O15" s="305" t="s">
        <v>187</v>
      </c>
    </row>
    <row r="16" spans="1:15" s="6" customFormat="1" ht="66.75" customHeight="1" thickBot="1" x14ac:dyDescent="0.3">
      <c r="A16" s="265"/>
      <c r="B16" s="267"/>
      <c r="C16" s="269"/>
      <c r="D16" s="269"/>
      <c r="E16" s="269"/>
      <c r="F16" s="271"/>
      <c r="G16" s="21" t="s">
        <v>32</v>
      </c>
      <c r="H16" s="21" t="s">
        <v>33</v>
      </c>
      <c r="I16" s="21" t="s">
        <v>105</v>
      </c>
      <c r="J16" s="21" t="s">
        <v>106</v>
      </c>
      <c r="K16" s="304" t="s">
        <v>34</v>
      </c>
      <c r="L16" s="306"/>
      <c r="M16" s="306"/>
      <c r="N16" s="306"/>
      <c r="O16" s="306"/>
    </row>
    <row r="17" spans="1:15" s="6" customFormat="1" ht="20.100000000000001" customHeight="1" thickBot="1" x14ac:dyDescent="0.3">
      <c r="A17" s="275" t="s">
        <v>35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95"/>
      <c r="M17" s="295"/>
      <c r="N17" s="295"/>
      <c r="O17" s="295"/>
    </row>
    <row r="18" spans="1:15" s="6" customFormat="1" ht="54" customHeight="1" x14ac:dyDescent="0.25">
      <c r="A18" s="23" t="s">
        <v>0</v>
      </c>
      <c r="B18" s="24"/>
      <c r="C18" s="25" t="s">
        <v>107</v>
      </c>
      <c r="D18" s="26"/>
      <c r="E18" s="26"/>
      <c r="F18" s="26"/>
      <c r="G18" s="27"/>
      <c r="H18" s="28"/>
      <c r="I18" s="28"/>
      <c r="J18" s="28"/>
      <c r="K18" s="28"/>
      <c r="L18" s="295"/>
      <c r="M18" s="295"/>
      <c r="N18" s="295"/>
      <c r="O18" s="295"/>
    </row>
    <row r="19" spans="1:15" s="6" customFormat="1" ht="15.75" customHeight="1" x14ac:dyDescent="0.25">
      <c r="A19" s="30" t="s">
        <v>36</v>
      </c>
      <c r="B19" s="31"/>
      <c r="C19" s="32" t="s">
        <v>167</v>
      </c>
      <c r="D19" s="259">
        <v>10</v>
      </c>
      <c r="E19" s="33" t="s">
        <v>37</v>
      </c>
      <c r="F19" s="34"/>
      <c r="G19" s="180"/>
      <c r="H19" s="181">
        <v>164.87</v>
      </c>
      <c r="I19" s="181">
        <v>46.5</v>
      </c>
      <c r="J19" s="182"/>
      <c r="K19" s="308">
        <f>SUM(G19:J19)</f>
        <v>211.37</v>
      </c>
      <c r="L19" s="294" t="s">
        <v>188</v>
      </c>
      <c r="M19" s="293" t="e">
        <f>K19*L19</f>
        <v>#VALUE!</v>
      </c>
      <c r="N19" s="293"/>
      <c r="O19" s="295"/>
    </row>
    <row r="20" spans="1:15" s="6" customFormat="1" ht="30" x14ac:dyDescent="0.25">
      <c r="A20" s="30"/>
      <c r="B20" s="216"/>
      <c r="C20" s="217" t="s">
        <v>38</v>
      </c>
      <c r="D20" s="256"/>
      <c r="E20" s="38" t="s">
        <v>39</v>
      </c>
      <c r="F20" s="39">
        <f>1.6*5</f>
        <v>8</v>
      </c>
      <c r="G20" s="183"/>
      <c r="H20" s="184">
        <f>F20*H19</f>
        <v>1318.96</v>
      </c>
      <c r="I20" s="187">
        <f>F20*I19</f>
        <v>372</v>
      </c>
      <c r="J20" s="185"/>
      <c r="K20" s="309">
        <f t="shared" ref="K20:K42" si="0">SUM(G20:J20)</f>
        <v>1690.96</v>
      </c>
      <c r="L20" s="294" t="s">
        <v>188</v>
      </c>
      <c r="M20" s="293"/>
      <c r="N20" s="293" t="e">
        <f>K20*L20</f>
        <v>#VALUE!</v>
      </c>
      <c r="O20" s="295"/>
    </row>
    <row r="21" spans="1:15" s="6" customFormat="1" ht="31.5" x14ac:dyDescent="0.25">
      <c r="A21" s="30" t="s">
        <v>40</v>
      </c>
      <c r="B21" s="31"/>
      <c r="C21" s="32" t="s">
        <v>41</v>
      </c>
      <c r="D21" s="256"/>
      <c r="E21" s="33" t="s">
        <v>37</v>
      </c>
      <c r="F21" s="34"/>
      <c r="G21" s="183"/>
      <c r="H21" s="189">
        <f>H19+(45.5+24.1+38.6+23.3)*0.09</f>
        <v>176.70500000000001</v>
      </c>
      <c r="I21" s="189">
        <f>I19+40.8*0.09</f>
        <v>50.171999999999997</v>
      </c>
      <c r="J21" s="182"/>
      <c r="K21" s="308">
        <f t="shared" si="0"/>
        <v>226.87700000000001</v>
      </c>
      <c r="L21" s="294" t="s">
        <v>188</v>
      </c>
      <c r="M21" s="293" t="e">
        <f>K21*L21</f>
        <v>#VALUE!</v>
      </c>
      <c r="N21" s="293"/>
      <c r="O21" s="295"/>
    </row>
    <row r="22" spans="1:15" s="6" customFormat="1" ht="30" x14ac:dyDescent="0.25">
      <c r="A22" s="42"/>
      <c r="B22" s="218"/>
      <c r="C22" s="217" t="s">
        <v>42</v>
      </c>
      <c r="D22" s="256"/>
      <c r="E22" s="38" t="s">
        <v>43</v>
      </c>
      <c r="F22" s="44">
        <f>1.02*0.05</f>
        <v>5.1000000000000004E-2</v>
      </c>
      <c r="G22" s="183"/>
      <c r="H22" s="187">
        <f>F22*H21</f>
        <v>9.0119550000000022</v>
      </c>
      <c r="I22" s="187">
        <f>F22*I21</f>
        <v>2.5587719999999998</v>
      </c>
      <c r="J22" s="185"/>
      <c r="K22" s="309">
        <f t="shared" si="0"/>
        <v>11.570727000000002</v>
      </c>
      <c r="L22" s="294" t="s">
        <v>188</v>
      </c>
      <c r="M22" s="293"/>
      <c r="N22" s="293" t="e">
        <f>K22*L22</f>
        <v>#VALUE!</v>
      </c>
      <c r="O22" s="295"/>
    </row>
    <row r="23" spans="1:15" s="6" customFormat="1" ht="15.75" x14ac:dyDescent="0.25">
      <c r="A23" s="30" t="s">
        <v>44</v>
      </c>
      <c r="B23" s="43"/>
      <c r="C23" s="32" t="s">
        <v>45</v>
      </c>
      <c r="D23" s="256"/>
      <c r="E23" s="33" t="s">
        <v>37</v>
      </c>
      <c r="F23" s="45"/>
      <c r="G23" s="180"/>
      <c r="H23" s="181">
        <f>H19</f>
        <v>164.87</v>
      </c>
      <c r="I23" s="181">
        <f>I19</f>
        <v>46.5</v>
      </c>
      <c r="J23" s="182"/>
      <c r="K23" s="308">
        <f t="shared" si="0"/>
        <v>211.37</v>
      </c>
      <c r="L23" s="294" t="s">
        <v>188</v>
      </c>
      <c r="M23" s="293" t="e">
        <f>K23*L23</f>
        <v>#VALUE!</v>
      </c>
      <c r="N23" s="293"/>
      <c r="O23" s="295"/>
    </row>
    <row r="24" spans="1:15" s="6" customFormat="1" x14ac:dyDescent="0.25">
      <c r="A24" s="42"/>
      <c r="B24" s="218"/>
      <c r="C24" s="217" t="s">
        <v>46</v>
      </c>
      <c r="D24" s="256"/>
      <c r="E24" s="38" t="s">
        <v>37</v>
      </c>
      <c r="F24" s="39">
        <v>1.1000000000000001</v>
      </c>
      <c r="G24" s="186"/>
      <c r="H24" s="187">
        <f>F24*H23</f>
        <v>181.35700000000003</v>
      </c>
      <c r="I24" s="187">
        <f>I23*F24</f>
        <v>51.150000000000006</v>
      </c>
      <c r="J24" s="185"/>
      <c r="K24" s="309">
        <f t="shared" si="0"/>
        <v>232.50700000000003</v>
      </c>
      <c r="L24" s="294" t="s">
        <v>188</v>
      </c>
      <c r="M24" s="293"/>
      <c r="N24" s="293" t="e">
        <f>K24*L24</f>
        <v>#VALUE!</v>
      </c>
      <c r="O24" s="295"/>
    </row>
    <row r="25" spans="1:15" s="6" customFormat="1" ht="15.75" x14ac:dyDescent="0.25">
      <c r="A25" s="278" t="s">
        <v>47</v>
      </c>
      <c r="B25" s="43"/>
      <c r="C25" s="280" t="s">
        <v>48</v>
      </c>
      <c r="D25" s="256"/>
      <c r="E25" s="33" t="s">
        <v>37</v>
      </c>
      <c r="F25" s="34"/>
      <c r="G25" s="183"/>
      <c r="H25" s="189">
        <f>H19</f>
        <v>164.87</v>
      </c>
      <c r="I25" s="189">
        <f>I23</f>
        <v>46.5</v>
      </c>
      <c r="J25" s="182"/>
      <c r="K25" s="308">
        <f t="shared" si="0"/>
        <v>211.37</v>
      </c>
      <c r="L25" s="294" t="s">
        <v>188</v>
      </c>
      <c r="M25" s="293" t="e">
        <f>K25*L25</f>
        <v>#VALUE!</v>
      </c>
      <c r="N25" s="293"/>
      <c r="O25" s="295"/>
    </row>
    <row r="26" spans="1:15" s="6" customFormat="1" ht="15.75" x14ac:dyDescent="0.25">
      <c r="A26" s="279"/>
      <c r="B26" s="43"/>
      <c r="C26" s="281"/>
      <c r="D26" s="256"/>
      <c r="E26" s="348" t="s">
        <v>43</v>
      </c>
      <c r="F26" s="349"/>
      <c r="G26" s="350"/>
      <c r="H26" s="351">
        <f>H25*0.09</f>
        <v>14.8383</v>
      </c>
      <c r="I26" s="351">
        <f>I25*0.09</f>
        <v>4.1849999999999996</v>
      </c>
      <c r="J26" s="352"/>
      <c r="K26" s="353">
        <f t="shared" si="0"/>
        <v>19.023299999999999</v>
      </c>
      <c r="L26" s="294"/>
      <c r="M26" s="293"/>
      <c r="N26" s="293"/>
      <c r="O26" s="295"/>
    </row>
    <row r="27" spans="1:15" s="6" customFormat="1" x14ac:dyDescent="0.25">
      <c r="A27" s="42"/>
      <c r="B27" s="218"/>
      <c r="C27" s="217" t="s">
        <v>49</v>
      </c>
      <c r="D27" s="256"/>
      <c r="E27" s="38" t="s">
        <v>43</v>
      </c>
      <c r="F27" s="46">
        <v>1.0149999999999999</v>
      </c>
      <c r="G27" s="183"/>
      <c r="H27" s="187">
        <f>F27*H26</f>
        <v>15.060874499999999</v>
      </c>
      <c r="I27" s="187">
        <f>I26*F27</f>
        <v>4.247774999999999</v>
      </c>
      <c r="J27" s="185"/>
      <c r="K27" s="309">
        <f t="shared" si="0"/>
        <v>19.308649499999998</v>
      </c>
      <c r="L27" s="294" t="s">
        <v>188</v>
      </c>
      <c r="M27" s="293"/>
      <c r="N27" s="293" t="e">
        <f>K27*L27</f>
        <v>#VALUE!</v>
      </c>
      <c r="O27" s="295"/>
    </row>
    <row r="28" spans="1:15" s="6" customFormat="1" x14ac:dyDescent="0.25">
      <c r="A28" s="42"/>
      <c r="B28" s="218"/>
      <c r="C28" s="217" t="s">
        <v>50</v>
      </c>
      <c r="D28" s="256"/>
      <c r="E28" s="38" t="s">
        <v>37</v>
      </c>
      <c r="F28" s="39">
        <v>1.1000000000000001</v>
      </c>
      <c r="G28" s="186"/>
      <c r="H28" s="187">
        <f>F28*H25</f>
        <v>181.35700000000003</v>
      </c>
      <c r="I28" s="187">
        <f>F28*I25</f>
        <v>51.150000000000006</v>
      </c>
      <c r="J28" s="185"/>
      <c r="K28" s="309">
        <f t="shared" si="0"/>
        <v>232.50700000000003</v>
      </c>
      <c r="L28" s="294" t="s">
        <v>188</v>
      </c>
      <c r="M28" s="293"/>
      <c r="N28" s="293" t="e">
        <f>K28*L28</f>
        <v>#VALUE!</v>
      </c>
      <c r="O28" s="295"/>
    </row>
    <row r="29" spans="1:15" s="6" customFormat="1" ht="15.75" x14ac:dyDescent="0.25">
      <c r="A29" s="42"/>
      <c r="B29" s="43"/>
      <c r="C29" s="32" t="s">
        <v>51</v>
      </c>
      <c r="D29" s="256"/>
      <c r="E29" s="33" t="s">
        <v>37</v>
      </c>
      <c r="F29" s="46"/>
      <c r="G29" s="186"/>
      <c r="H29" s="189">
        <f>H23</f>
        <v>164.87</v>
      </c>
      <c r="I29" s="189">
        <f>I25</f>
        <v>46.5</v>
      </c>
      <c r="J29" s="182"/>
      <c r="K29" s="308">
        <f t="shared" si="0"/>
        <v>211.37</v>
      </c>
      <c r="L29" s="294" t="s">
        <v>188</v>
      </c>
      <c r="M29" s="293" t="e">
        <f>K29*L29</f>
        <v>#VALUE!</v>
      </c>
      <c r="N29" s="293"/>
      <c r="O29" s="295"/>
    </row>
    <row r="30" spans="1:15" s="6" customFormat="1" x14ac:dyDescent="0.25">
      <c r="A30" s="42"/>
      <c r="B30" s="218"/>
      <c r="C30" s="217" t="s">
        <v>52</v>
      </c>
      <c r="D30" s="257"/>
      <c r="E30" s="38" t="s">
        <v>53</v>
      </c>
      <c r="F30" s="39">
        <v>0.5</v>
      </c>
      <c r="G30" s="186"/>
      <c r="H30" s="187">
        <f>F30*H29</f>
        <v>82.435000000000002</v>
      </c>
      <c r="I30" s="187">
        <f>I29*F30</f>
        <v>23.25</v>
      </c>
      <c r="J30" s="185"/>
      <c r="K30" s="309">
        <f t="shared" si="0"/>
        <v>105.685</v>
      </c>
      <c r="L30" s="294" t="s">
        <v>188</v>
      </c>
      <c r="M30" s="293"/>
      <c r="N30" s="293" t="e">
        <f>K30*L30</f>
        <v>#VALUE!</v>
      </c>
      <c r="O30" s="295"/>
    </row>
    <row r="31" spans="1:15" s="6" customFormat="1" ht="15.75" x14ac:dyDescent="0.25">
      <c r="A31" s="23" t="s">
        <v>5</v>
      </c>
      <c r="B31" s="24"/>
      <c r="C31" s="25" t="s">
        <v>54</v>
      </c>
      <c r="D31" s="47"/>
      <c r="E31" s="26"/>
      <c r="F31" s="26"/>
      <c r="G31" s="48"/>
      <c r="H31" s="26"/>
      <c r="I31" s="26"/>
      <c r="J31" s="26"/>
      <c r="K31" s="26"/>
      <c r="L31" s="321"/>
      <c r="M31" s="322"/>
      <c r="N31" s="322"/>
      <c r="O31" s="323"/>
    </row>
    <row r="32" spans="1:15" s="6" customFormat="1" ht="31.5" x14ac:dyDescent="0.25">
      <c r="A32" s="30" t="s">
        <v>113</v>
      </c>
      <c r="B32" s="43"/>
      <c r="C32" s="32" t="s">
        <v>56</v>
      </c>
      <c r="D32" s="253" t="s">
        <v>184</v>
      </c>
      <c r="E32" s="33" t="s">
        <v>37</v>
      </c>
      <c r="F32" s="34"/>
      <c r="G32" s="35">
        <f>1.06*2.1+1.06*1.9+1.5*0.98</f>
        <v>5.71</v>
      </c>
      <c r="H32" s="164">
        <f>1.5*0.98*2</f>
        <v>2.94</v>
      </c>
      <c r="I32" s="188">
        <f>1.5*0.98+1.06*1.4</f>
        <v>2.9539999999999997</v>
      </c>
      <c r="J32" s="36">
        <f>1.5*0.98+1.06*2.1+1.06*1.9</f>
        <v>5.7100000000000009</v>
      </c>
      <c r="K32" s="308">
        <f>SUM(G32:J32)</f>
        <v>17.314</v>
      </c>
      <c r="L32" s="294" t="s">
        <v>188</v>
      </c>
      <c r="M32" s="293" t="e">
        <f>K32*L32</f>
        <v>#VALUE!</v>
      </c>
      <c r="N32" s="293"/>
      <c r="O32" s="295"/>
    </row>
    <row r="33" spans="1:15" s="6" customFormat="1" x14ac:dyDescent="0.25">
      <c r="A33" s="42"/>
      <c r="B33" s="218"/>
      <c r="C33" s="217" t="s">
        <v>57</v>
      </c>
      <c r="D33" s="253"/>
      <c r="E33" s="38" t="s">
        <v>43</v>
      </c>
      <c r="F33" s="44">
        <f>1.02*0.07</f>
        <v>7.1400000000000005E-2</v>
      </c>
      <c r="G33" s="50">
        <f>G32*F33</f>
        <v>0.407694</v>
      </c>
      <c r="H33" s="165">
        <f>H32*F33</f>
        <v>0.20991600000000002</v>
      </c>
      <c r="I33" s="165">
        <f>I32*F33</f>
        <v>0.21091560000000001</v>
      </c>
      <c r="J33" s="40">
        <f>J32*F33</f>
        <v>0.40769400000000011</v>
      </c>
      <c r="K33" s="309">
        <f t="shared" si="0"/>
        <v>1.2362196000000001</v>
      </c>
      <c r="L33" s="294" t="s">
        <v>188</v>
      </c>
      <c r="M33" s="293"/>
      <c r="N33" s="293" t="e">
        <f>K33*L33</f>
        <v>#VALUE!</v>
      </c>
      <c r="O33" s="295"/>
    </row>
    <row r="34" spans="1:15" s="6" customFormat="1" x14ac:dyDescent="0.25">
      <c r="A34" s="42"/>
      <c r="B34" s="218"/>
      <c r="C34" s="217" t="s">
        <v>58</v>
      </c>
      <c r="D34" s="253"/>
      <c r="E34" s="38" t="s">
        <v>37</v>
      </c>
      <c r="F34" s="39">
        <v>1.1000000000000001</v>
      </c>
      <c r="G34" s="50">
        <f>F34*G32</f>
        <v>6.2810000000000006</v>
      </c>
      <c r="H34" s="165">
        <f>H32*F34</f>
        <v>3.234</v>
      </c>
      <c r="I34" s="165">
        <f>I32*F34</f>
        <v>3.2494000000000001</v>
      </c>
      <c r="J34" s="40">
        <f>J32*F34</f>
        <v>6.2810000000000015</v>
      </c>
      <c r="K34" s="309">
        <f t="shared" si="0"/>
        <v>19.045400000000001</v>
      </c>
      <c r="L34" s="294" t="s">
        <v>188</v>
      </c>
      <c r="M34" s="293"/>
      <c r="N34" s="293" t="e">
        <f>K34*L34</f>
        <v>#VALUE!</v>
      </c>
      <c r="O34" s="295"/>
    </row>
    <row r="35" spans="1:15" s="6" customFormat="1" ht="15.75" x14ac:dyDescent="0.25">
      <c r="A35" s="30" t="s">
        <v>114</v>
      </c>
      <c r="B35" s="43"/>
      <c r="C35" s="32" t="s">
        <v>60</v>
      </c>
      <c r="D35" s="253"/>
      <c r="E35" s="33" t="s">
        <v>37</v>
      </c>
      <c r="F35" s="34"/>
      <c r="G35" s="35">
        <f>G32</f>
        <v>5.71</v>
      </c>
      <c r="H35" s="164">
        <f>H32</f>
        <v>2.94</v>
      </c>
      <c r="I35" s="188">
        <f>I32</f>
        <v>2.9539999999999997</v>
      </c>
      <c r="J35" s="36">
        <f>J32</f>
        <v>5.7100000000000009</v>
      </c>
      <c r="K35" s="308">
        <f t="shared" si="0"/>
        <v>17.314</v>
      </c>
      <c r="L35" s="294" t="s">
        <v>188</v>
      </c>
      <c r="M35" s="293" t="e">
        <f>K35*L35</f>
        <v>#VALUE!</v>
      </c>
      <c r="N35" s="293"/>
      <c r="O35" s="295"/>
    </row>
    <row r="36" spans="1:15" s="6" customFormat="1" x14ac:dyDescent="0.25">
      <c r="A36" s="42"/>
      <c r="B36" s="218"/>
      <c r="C36" s="217" t="s">
        <v>61</v>
      </c>
      <c r="D36" s="282"/>
      <c r="E36" s="38" t="s">
        <v>53</v>
      </c>
      <c r="F36" s="39">
        <f>0.25*2</f>
        <v>0.5</v>
      </c>
      <c r="G36" s="50">
        <f>G35*F36</f>
        <v>2.855</v>
      </c>
      <c r="H36" s="165">
        <f>H35*F36</f>
        <v>1.47</v>
      </c>
      <c r="I36" s="165">
        <f>I35*F36</f>
        <v>1.4769999999999999</v>
      </c>
      <c r="J36" s="40">
        <f>J35*F36</f>
        <v>2.8550000000000004</v>
      </c>
      <c r="K36" s="309">
        <f t="shared" si="0"/>
        <v>8.657</v>
      </c>
      <c r="L36" s="294" t="s">
        <v>188</v>
      </c>
      <c r="M36" s="293"/>
      <c r="N36" s="293" t="e">
        <f>K36*L36</f>
        <v>#VALUE!</v>
      </c>
      <c r="O36" s="295"/>
    </row>
    <row r="37" spans="1:15" s="6" customFormat="1" ht="15.75" x14ac:dyDescent="0.25">
      <c r="A37" s="23" t="s">
        <v>6</v>
      </c>
      <c r="B37" s="24"/>
      <c r="C37" s="25" t="s">
        <v>62</v>
      </c>
      <c r="D37" s="47"/>
      <c r="E37" s="26"/>
      <c r="F37" s="26"/>
      <c r="G37" s="48"/>
      <c r="H37" s="26"/>
      <c r="I37" s="26"/>
      <c r="J37" s="26"/>
      <c r="K37" s="26"/>
      <c r="L37" s="321"/>
      <c r="M37" s="322"/>
      <c r="N37" s="322"/>
      <c r="O37" s="323"/>
    </row>
    <row r="38" spans="1:15" s="6" customFormat="1" ht="31.5" x14ac:dyDescent="0.25">
      <c r="A38" s="30" t="s">
        <v>55</v>
      </c>
      <c r="B38" s="43"/>
      <c r="C38" s="32" t="s">
        <v>64</v>
      </c>
      <c r="D38" s="253" t="s">
        <v>185</v>
      </c>
      <c r="E38" s="33" t="s">
        <v>37</v>
      </c>
      <c r="F38" s="34"/>
      <c r="G38" s="190">
        <v>638.04999999999995</v>
      </c>
      <c r="H38" s="188">
        <v>424.3</v>
      </c>
      <c r="I38" s="188">
        <v>561.15</v>
      </c>
      <c r="J38" s="51">
        <v>649.91</v>
      </c>
      <c r="K38" s="308">
        <f t="shared" si="0"/>
        <v>2273.41</v>
      </c>
      <c r="L38" s="294" t="s">
        <v>188</v>
      </c>
      <c r="M38" s="293" t="e">
        <f>K38*L38</f>
        <v>#VALUE!</v>
      </c>
      <c r="N38" s="293"/>
      <c r="O38" s="295"/>
    </row>
    <row r="39" spans="1:15" s="6" customFormat="1" x14ac:dyDescent="0.25">
      <c r="A39" s="42"/>
      <c r="B39" s="218"/>
      <c r="C39" s="217" t="s">
        <v>57</v>
      </c>
      <c r="D39" s="253"/>
      <c r="E39" s="38" t="s">
        <v>43</v>
      </c>
      <c r="F39" s="44">
        <f>1.02*0.03</f>
        <v>3.0599999999999999E-2</v>
      </c>
      <c r="G39" s="50">
        <f>G38*F39</f>
        <v>19.524329999999999</v>
      </c>
      <c r="H39" s="165">
        <f>H38*F39</f>
        <v>12.98358</v>
      </c>
      <c r="I39" s="165">
        <f>I38*F39</f>
        <v>17.171189999999999</v>
      </c>
      <c r="J39" s="40">
        <f>J38*F39</f>
        <v>19.887245999999998</v>
      </c>
      <c r="K39" s="309">
        <f t="shared" si="0"/>
        <v>69.566345999999982</v>
      </c>
      <c r="L39" s="294" t="s">
        <v>188</v>
      </c>
      <c r="M39" s="293"/>
      <c r="N39" s="293" t="e">
        <f>K39*L39</f>
        <v>#VALUE!</v>
      </c>
      <c r="O39" s="295"/>
    </row>
    <row r="40" spans="1:15" s="6" customFormat="1" x14ac:dyDescent="0.25">
      <c r="A40" s="42"/>
      <c r="B40" s="218"/>
      <c r="C40" s="217" t="s">
        <v>65</v>
      </c>
      <c r="D40" s="253"/>
      <c r="E40" s="38" t="s">
        <v>39</v>
      </c>
      <c r="F40" s="39">
        <v>0.03</v>
      </c>
      <c r="G40" s="50">
        <f>F40*G38</f>
        <v>19.141499999999997</v>
      </c>
      <c r="H40" s="165">
        <f>H38*F40</f>
        <v>12.728999999999999</v>
      </c>
      <c r="I40" s="165">
        <f>I38*F40</f>
        <v>16.834499999999998</v>
      </c>
      <c r="J40" s="40">
        <f>J38*F40</f>
        <v>19.497299999999999</v>
      </c>
      <c r="K40" s="309">
        <f t="shared" si="0"/>
        <v>68.202299999999994</v>
      </c>
      <c r="L40" s="294" t="s">
        <v>188</v>
      </c>
      <c r="M40" s="293"/>
      <c r="N40" s="293" t="e">
        <f>K40*L40</f>
        <v>#VALUE!</v>
      </c>
      <c r="O40" s="295"/>
    </row>
    <row r="41" spans="1:15" s="6" customFormat="1" ht="15.75" x14ac:dyDescent="0.25">
      <c r="A41" s="30" t="s">
        <v>59</v>
      </c>
      <c r="B41" s="43"/>
      <c r="C41" s="32" t="s">
        <v>60</v>
      </c>
      <c r="D41" s="253"/>
      <c r="E41" s="33" t="s">
        <v>37</v>
      </c>
      <c r="F41" s="34"/>
      <c r="G41" s="190">
        <f>G38</f>
        <v>638.04999999999995</v>
      </c>
      <c r="H41" s="188">
        <f>H38</f>
        <v>424.3</v>
      </c>
      <c r="I41" s="188">
        <f>I38</f>
        <v>561.15</v>
      </c>
      <c r="J41" s="51">
        <f>J38</f>
        <v>649.91</v>
      </c>
      <c r="K41" s="308">
        <f t="shared" si="0"/>
        <v>2273.41</v>
      </c>
      <c r="L41" s="294" t="s">
        <v>188</v>
      </c>
      <c r="M41" s="293" t="e">
        <f>K41*L41</f>
        <v>#VALUE!</v>
      </c>
      <c r="N41" s="293"/>
      <c r="O41" s="295"/>
    </row>
    <row r="42" spans="1:15" s="6" customFormat="1" ht="15.75" thickBot="1" x14ac:dyDescent="0.3">
      <c r="A42" s="52"/>
      <c r="B42" s="219"/>
      <c r="C42" s="220" t="s">
        <v>61</v>
      </c>
      <c r="D42" s="254"/>
      <c r="E42" s="53" t="s">
        <v>53</v>
      </c>
      <c r="F42" s="54">
        <v>0.5</v>
      </c>
      <c r="G42" s="50">
        <f>G41*F42</f>
        <v>319.02499999999998</v>
      </c>
      <c r="H42" s="165">
        <f>H41*F42</f>
        <v>212.15</v>
      </c>
      <c r="I42" s="165">
        <f>I41*F42</f>
        <v>280.57499999999999</v>
      </c>
      <c r="J42" s="40">
        <f>J41*F42</f>
        <v>324.95499999999998</v>
      </c>
      <c r="K42" s="309">
        <f t="shared" si="0"/>
        <v>1136.7049999999999</v>
      </c>
      <c r="L42" s="294" t="s">
        <v>188</v>
      </c>
      <c r="M42" s="293"/>
      <c r="N42" s="293" t="e">
        <f>K42*L42</f>
        <v>#VALUE!</v>
      </c>
      <c r="O42" s="295"/>
    </row>
    <row r="43" spans="1:15" s="6" customFormat="1" ht="20.100000000000001" customHeight="1" thickBot="1" x14ac:dyDescent="0.3">
      <c r="A43" s="211"/>
      <c r="B43" s="212"/>
      <c r="C43" s="211" t="s">
        <v>66</v>
      </c>
      <c r="D43" s="212"/>
      <c r="E43" s="212"/>
      <c r="F43" s="212"/>
      <c r="G43" s="212"/>
      <c r="H43" s="212"/>
      <c r="I43" s="212"/>
      <c r="J43" s="212"/>
      <c r="K43" s="212"/>
      <c r="L43" s="294"/>
      <c r="M43" s="293"/>
      <c r="N43" s="293"/>
      <c r="O43" s="295"/>
    </row>
    <row r="44" spans="1:15" s="6" customFormat="1" ht="18" customHeight="1" x14ac:dyDescent="0.25">
      <c r="A44" s="58"/>
      <c r="B44" s="59"/>
      <c r="C44" s="60" t="s">
        <v>11</v>
      </c>
      <c r="D44" s="59"/>
      <c r="E44" s="59"/>
      <c r="F44" s="61"/>
      <c r="G44" s="62"/>
      <c r="H44" s="166"/>
      <c r="I44" s="166"/>
      <c r="J44" s="59"/>
      <c r="K44" s="310"/>
      <c r="L44" s="294"/>
      <c r="M44" s="293"/>
      <c r="N44" s="293"/>
      <c r="O44" s="295"/>
    </row>
    <row r="45" spans="1:15" s="72" customFormat="1" ht="18" customHeight="1" x14ac:dyDescent="0.25">
      <c r="A45" s="63" t="s">
        <v>7</v>
      </c>
      <c r="B45" s="64"/>
      <c r="C45" s="65" t="s">
        <v>67</v>
      </c>
      <c r="D45" s="66"/>
      <c r="E45" s="67"/>
      <c r="F45" s="68"/>
      <c r="G45" s="69"/>
      <c r="H45" s="167"/>
      <c r="I45" s="167"/>
      <c r="J45" s="70"/>
      <c r="K45" s="311"/>
      <c r="L45" s="321"/>
      <c r="M45" s="322"/>
      <c r="N45" s="322"/>
      <c r="O45" s="324"/>
    </row>
    <row r="46" spans="1:15" s="72" customFormat="1" ht="15.75" customHeight="1" x14ac:dyDescent="0.25">
      <c r="A46" s="30" t="s">
        <v>63</v>
      </c>
      <c r="B46" s="73"/>
      <c r="C46" s="247" t="s">
        <v>68</v>
      </c>
      <c r="D46" s="256">
        <v>1</v>
      </c>
      <c r="E46" s="75" t="s">
        <v>37</v>
      </c>
      <c r="F46" s="76"/>
      <c r="G46" s="191">
        <v>400.35999999999996</v>
      </c>
      <c r="H46" s="77">
        <v>340.93</v>
      </c>
      <c r="I46" s="168">
        <v>358.36</v>
      </c>
      <c r="J46" s="77">
        <v>397.37</v>
      </c>
      <c r="K46" s="312">
        <f t="shared" ref="K46:K52" si="1">SUM(G46:J46)</f>
        <v>1497.02</v>
      </c>
      <c r="L46" s="294" t="s">
        <v>188</v>
      </c>
      <c r="M46" s="293" t="e">
        <f>K46*L46</f>
        <v>#VALUE!</v>
      </c>
      <c r="N46" s="293"/>
      <c r="O46" s="298"/>
    </row>
    <row r="47" spans="1:15" s="86" customFormat="1" ht="15.75" customHeight="1" x14ac:dyDescent="0.25">
      <c r="A47" s="79"/>
      <c r="B47" s="221"/>
      <c r="C47" s="222" t="s">
        <v>69</v>
      </c>
      <c r="D47" s="256"/>
      <c r="E47" s="81" t="s">
        <v>43</v>
      </c>
      <c r="F47" s="82">
        <f>1.02*0.08</f>
        <v>8.1600000000000006E-2</v>
      </c>
      <c r="G47" s="83">
        <f>F47*G46</f>
        <v>32.669376</v>
      </c>
      <c r="H47" s="196">
        <f>F47*H46</f>
        <v>27.819888000000002</v>
      </c>
      <c r="I47" s="169">
        <f>F47*I46</f>
        <v>29.242176000000004</v>
      </c>
      <c r="J47" s="84">
        <f>F47*J46</f>
        <v>32.425392000000002</v>
      </c>
      <c r="K47" s="84">
        <f t="shared" si="1"/>
        <v>122.15683200000001</v>
      </c>
      <c r="L47" s="294" t="s">
        <v>188</v>
      </c>
      <c r="M47" s="293"/>
      <c r="N47" s="293" t="e">
        <f>K47*L47</f>
        <v>#VALUE!</v>
      </c>
      <c r="O47" s="318"/>
    </row>
    <row r="48" spans="1:15" s="86" customFormat="1" ht="15.75" customHeight="1" x14ac:dyDescent="0.25">
      <c r="A48" s="30" t="s">
        <v>115</v>
      </c>
      <c r="B48" s="80"/>
      <c r="C48" s="87" t="s">
        <v>45</v>
      </c>
      <c r="D48" s="256"/>
      <c r="E48" s="75" t="s">
        <v>37</v>
      </c>
      <c r="F48" s="88"/>
      <c r="G48" s="89">
        <f>G46</f>
        <v>400.35999999999996</v>
      </c>
      <c r="H48" s="197">
        <f>H46</f>
        <v>340.93</v>
      </c>
      <c r="I48" s="170">
        <f>I46</f>
        <v>358.36</v>
      </c>
      <c r="J48" s="90">
        <f>J46</f>
        <v>397.37</v>
      </c>
      <c r="K48" s="90">
        <f t="shared" si="1"/>
        <v>1497.02</v>
      </c>
      <c r="L48" s="294" t="s">
        <v>188</v>
      </c>
      <c r="M48" s="293" t="e">
        <f>K48*L48</f>
        <v>#VALUE!</v>
      </c>
      <c r="N48" s="293"/>
      <c r="O48" s="318"/>
    </row>
    <row r="49" spans="1:15" s="86" customFormat="1" ht="15.75" customHeight="1" x14ac:dyDescent="0.25">
      <c r="A49" s="79"/>
      <c r="B49" s="221"/>
      <c r="C49" s="217" t="s">
        <v>70</v>
      </c>
      <c r="D49" s="256"/>
      <c r="E49" s="92" t="s">
        <v>37</v>
      </c>
      <c r="F49" s="93">
        <v>1.1000000000000001</v>
      </c>
      <c r="G49" s="83">
        <f>F49*G48</f>
        <v>440.39600000000002</v>
      </c>
      <c r="H49" s="196">
        <f>F49*H48</f>
        <v>375.02300000000002</v>
      </c>
      <c r="I49" s="169">
        <f>F49*I48</f>
        <v>394.19600000000003</v>
      </c>
      <c r="J49" s="84">
        <f>F49*J48</f>
        <v>437.10700000000003</v>
      </c>
      <c r="K49" s="84">
        <f t="shared" si="1"/>
        <v>1646.7220000000002</v>
      </c>
      <c r="L49" s="294" t="s">
        <v>188</v>
      </c>
      <c r="M49" s="293"/>
      <c r="N49" s="293" t="e">
        <f>K49*L49</f>
        <v>#VALUE!</v>
      </c>
      <c r="O49" s="318"/>
    </row>
    <row r="50" spans="1:15" s="86" customFormat="1" ht="31.5" customHeight="1" x14ac:dyDescent="0.25">
      <c r="A50" s="30" t="s">
        <v>116</v>
      </c>
      <c r="B50" s="80"/>
      <c r="C50" s="87" t="s">
        <v>71</v>
      </c>
      <c r="D50" s="256"/>
      <c r="E50" s="94" t="s">
        <v>37</v>
      </c>
      <c r="F50" s="95"/>
      <c r="G50" s="194">
        <f>G48</f>
        <v>400.35999999999996</v>
      </c>
      <c r="H50" s="148">
        <f>H48</f>
        <v>340.93</v>
      </c>
      <c r="I50" s="202">
        <f>I48</f>
        <v>358.36</v>
      </c>
      <c r="J50" s="203">
        <f>J48</f>
        <v>397.37</v>
      </c>
      <c r="K50" s="203">
        <f t="shared" si="1"/>
        <v>1497.02</v>
      </c>
      <c r="L50" s="294" t="s">
        <v>188</v>
      </c>
      <c r="M50" s="293" t="e">
        <f>K50*L50</f>
        <v>#VALUE!</v>
      </c>
      <c r="N50" s="293"/>
      <c r="O50" s="318"/>
    </row>
    <row r="51" spans="1:15" s="86" customFormat="1" ht="15.75" customHeight="1" x14ac:dyDescent="0.25">
      <c r="A51" s="79"/>
      <c r="B51" s="221"/>
      <c r="C51" s="222" t="s">
        <v>57</v>
      </c>
      <c r="D51" s="256"/>
      <c r="E51" s="81" t="s">
        <v>43</v>
      </c>
      <c r="F51" s="82">
        <f>1.02*0.07</f>
        <v>7.1400000000000005E-2</v>
      </c>
      <c r="G51" s="96">
        <f>F51*G50</f>
        <v>28.585704</v>
      </c>
      <c r="H51" s="196">
        <f>F51*H50</f>
        <v>24.342402000000003</v>
      </c>
      <c r="I51" s="169">
        <f>F51*I50</f>
        <v>25.586904000000004</v>
      </c>
      <c r="J51" s="84">
        <f>F51*J50</f>
        <v>28.372218000000004</v>
      </c>
      <c r="K51" s="313">
        <f t="shared" si="1"/>
        <v>106.88722800000001</v>
      </c>
      <c r="L51" s="294" t="s">
        <v>188</v>
      </c>
      <c r="M51" s="293"/>
      <c r="N51" s="293" t="e">
        <f>K51*L51</f>
        <v>#VALUE!</v>
      </c>
      <c r="O51" s="318"/>
    </row>
    <row r="52" spans="1:15" s="86" customFormat="1" ht="15.75" customHeight="1" x14ac:dyDescent="0.25">
      <c r="A52" s="79"/>
      <c r="B52" s="221"/>
      <c r="C52" s="222" t="s">
        <v>65</v>
      </c>
      <c r="D52" s="257"/>
      <c r="E52" s="81" t="s">
        <v>39</v>
      </c>
      <c r="F52" s="85">
        <f>0.07</f>
        <v>7.0000000000000007E-2</v>
      </c>
      <c r="G52" s="83">
        <f>F52*G50</f>
        <v>28.025199999999998</v>
      </c>
      <c r="H52" s="196">
        <f>F52*H51</f>
        <v>1.7039681400000004</v>
      </c>
      <c r="I52" s="169">
        <f>F52*I51</f>
        <v>1.7910832800000005</v>
      </c>
      <c r="J52" s="84">
        <f>F52*J51</f>
        <v>1.9860552600000005</v>
      </c>
      <c r="K52" s="84">
        <f t="shared" si="1"/>
        <v>33.506306680000002</v>
      </c>
      <c r="L52" s="294" t="s">
        <v>188</v>
      </c>
      <c r="M52" s="293"/>
      <c r="N52" s="293" t="e">
        <f>K52*L52</f>
        <v>#VALUE!</v>
      </c>
      <c r="O52" s="318"/>
    </row>
    <row r="53" spans="1:15" s="72" customFormat="1" ht="18" customHeight="1" x14ac:dyDescent="0.25">
      <c r="A53" s="63" t="s">
        <v>3</v>
      </c>
      <c r="B53" s="64"/>
      <c r="C53" s="65" t="s">
        <v>72</v>
      </c>
      <c r="D53" s="47"/>
      <c r="E53" s="97"/>
      <c r="F53" s="68"/>
      <c r="G53" s="98"/>
      <c r="H53" s="198"/>
      <c r="I53" s="171"/>
      <c r="J53" s="99"/>
      <c r="K53" s="99"/>
      <c r="L53" s="325"/>
      <c r="M53" s="322"/>
      <c r="N53" s="326"/>
      <c r="O53" s="324"/>
    </row>
    <row r="54" spans="1:15" s="86" customFormat="1" ht="15.75" customHeight="1" x14ac:dyDescent="0.25">
      <c r="A54" s="30" t="s">
        <v>112</v>
      </c>
      <c r="B54" s="80"/>
      <c r="C54" s="101" t="s">
        <v>68</v>
      </c>
      <c r="D54" s="252">
        <v>2</v>
      </c>
      <c r="E54" s="102" t="s">
        <v>37</v>
      </c>
      <c r="F54" s="91"/>
      <c r="G54" s="89">
        <v>51.61999999999999</v>
      </c>
      <c r="H54" s="197">
        <v>46.75</v>
      </c>
      <c r="I54" s="170">
        <v>53.51</v>
      </c>
      <c r="J54" s="90">
        <v>51.620000000000005</v>
      </c>
      <c r="K54" s="90">
        <f t="shared" ref="K54:K62" si="2">SUM(G54:J54)</f>
        <v>203.5</v>
      </c>
      <c r="L54" s="294" t="s">
        <v>188</v>
      </c>
      <c r="M54" s="293" t="e">
        <f>K54*L54</f>
        <v>#VALUE!</v>
      </c>
      <c r="N54" s="293"/>
      <c r="O54" s="318"/>
    </row>
    <row r="55" spans="1:15" s="86" customFormat="1" ht="15.75" customHeight="1" x14ac:dyDescent="0.25">
      <c r="A55" s="79"/>
      <c r="B55" s="221"/>
      <c r="C55" s="222" t="s">
        <v>69</v>
      </c>
      <c r="D55" s="252"/>
      <c r="E55" s="81" t="s">
        <v>43</v>
      </c>
      <c r="F55" s="82">
        <f>1.02*0.08</f>
        <v>8.1600000000000006E-2</v>
      </c>
      <c r="G55" s="83">
        <f>F55*G54</f>
        <v>4.2121919999999999</v>
      </c>
      <c r="H55" s="196">
        <f>F55*H54</f>
        <v>3.8148000000000004</v>
      </c>
      <c r="I55" s="169">
        <f>F55*I54</f>
        <v>4.3664160000000001</v>
      </c>
      <c r="J55" s="84">
        <f>F55*J54</f>
        <v>4.2121920000000008</v>
      </c>
      <c r="K55" s="84">
        <f t="shared" si="2"/>
        <v>16.605600000000003</v>
      </c>
      <c r="L55" s="294" t="s">
        <v>188</v>
      </c>
      <c r="M55" s="293"/>
      <c r="N55" s="293" t="e">
        <f>K55*L55</f>
        <v>#VALUE!</v>
      </c>
      <c r="O55" s="318"/>
    </row>
    <row r="56" spans="1:15" s="86" customFormat="1" ht="15.75" customHeight="1" x14ac:dyDescent="0.25">
      <c r="A56" s="30" t="s">
        <v>117</v>
      </c>
      <c r="B56" s="80"/>
      <c r="C56" s="87" t="s">
        <v>45</v>
      </c>
      <c r="D56" s="252"/>
      <c r="E56" s="94" t="s">
        <v>37</v>
      </c>
      <c r="F56" s="103"/>
      <c r="G56" s="89">
        <f>G54</f>
        <v>51.61999999999999</v>
      </c>
      <c r="H56" s="197">
        <f>H54</f>
        <v>46.75</v>
      </c>
      <c r="I56" s="170">
        <f>I54</f>
        <v>53.51</v>
      </c>
      <c r="J56" s="90">
        <f>J54</f>
        <v>51.620000000000005</v>
      </c>
      <c r="K56" s="90">
        <f t="shared" si="2"/>
        <v>203.5</v>
      </c>
      <c r="L56" s="294" t="s">
        <v>188</v>
      </c>
      <c r="M56" s="293" t="e">
        <f>K56*L56</f>
        <v>#VALUE!</v>
      </c>
      <c r="N56" s="293"/>
      <c r="O56" s="318"/>
    </row>
    <row r="57" spans="1:15" s="86" customFormat="1" ht="15.75" customHeight="1" x14ac:dyDescent="0.25">
      <c r="A57" s="79"/>
      <c r="B57" s="221"/>
      <c r="C57" s="217" t="s">
        <v>70</v>
      </c>
      <c r="D57" s="252"/>
      <c r="E57" s="92" t="s">
        <v>37</v>
      </c>
      <c r="F57" s="93">
        <v>1.1000000000000001</v>
      </c>
      <c r="G57" s="83">
        <f>F57*G56</f>
        <v>56.781999999999996</v>
      </c>
      <c r="H57" s="196">
        <f>F57*H56</f>
        <v>51.425000000000004</v>
      </c>
      <c r="I57" s="169">
        <f>F57*I56</f>
        <v>58.861000000000004</v>
      </c>
      <c r="J57" s="84">
        <f>F57*J56</f>
        <v>56.782000000000011</v>
      </c>
      <c r="K57" s="84">
        <f t="shared" si="2"/>
        <v>223.85</v>
      </c>
      <c r="L57" s="294" t="s">
        <v>188</v>
      </c>
      <c r="M57" s="293"/>
      <c r="N57" s="293" t="e">
        <f>K57*L57</f>
        <v>#VALUE!</v>
      </c>
      <c r="O57" s="318"/>
    </row>
    <row r="58" spans="1:15" s="86" customFormat="1" ht="31.5" customHeight="1" x14ac:dyDescent="0.25">
      <c r="A58" s="30" t="s">
        <v>118</v>
      </c>
      <c r="B58" s="80"/>
      <c r="C58" s="87" t="s">
        <v>73</v>
      </c>
      <c r="D58" s="252"/>
      <c r="E58" s="94" t="s">
        <v>37</v>
      </c>
      <c r="F58" s="103"/>
      <c r="G58" s="89">
        <f>G56</f>
        <v>51.61999999999999</v>
      </c>
      <c r="H58" s="197">
        <f>H56</f>
        <v>46.75</v>
      </c>
      <c r="I58" s="170">
        <f>I56</f>
        <v>53.51</v>
      </c>
      <c r="J58" s="90">
        <f>J56</f>
        <v>51.620000000000005</v>
      </c>
      <c r="K58" s="90">
        <f t="shared" si="2"/>
        <v>203.5</v>
      </c>
      <c r="L58" s="294" t="s">
        <v>188</v>
      </c>
      <c r="M58" s="293" t="e">
        <f>K58*L58</f>
        <v>#VALUE!</v>
      </c>
      <c r="N58" s="293"/>
      <c r="O58" s="318"/>
    </row>
    <row r="59" spans="1:15" s="86" customFormat="1" ht="15.75" customHeight="1" x14ac:dyDescent="0.25">
      <c r="A59" s="79"/>
      <c r="B59" s="221"/>
      <c r="C59" s="222" t="s">
        <v>57</v>
      </c>
      <c r="D59" s="252"/>
      <c r="E59" s="81" t="s">
        <v>43</v>
      </c>
      <c r="F59" s="82">
        <f>1.02*0.07</f>
        <v>7.1400000000000005E-2</v>
      </c>
      <c r="G59" s="83">
        <f>F59*G58</f>
        <v>3.6856679999999997</v>
      </c>
      <c r="H59" s="196">
        <f>F59*H58</f>
        <v>3.3379500000000002</v>
      </c>
      <c r="I59" s="169">
        <f>F59*I58</f>
        <v>3.820614</v>
      </c>
      <c r="J59" s="84">
        <f>F59*J58</f>
        <v>3.6856680000000006</v>
      </c>
      <c r="K59" s="84">
        <f t="shared" si="2"/>
        <v>14.529900000000001</v>
      </c>
      <c r="L59" s="294" t="s">
        <v>188</v>
      </c>
      <c r="M59" s="293"/>
      <c r="N59" s="293" t="e">
        <f>K59*L59</f>
        <v>#VALUE!</v>
      </c>
      <c r="O59" s="318"/>
    </row>
    <row r="60" spans="1:15" s="86" customFormat="1" ht="15.75" customHeight="1" x14ac:dyDescent="0.25">
      <c r="A60" s="79"/>
      <c r="B60" s="221"/>
      <c r="C60" s="222" t="s">
        <v>65</v>
      </c>
      <c r="D60" s="252"/>
      <c r="E60" s="81" t="s">
        <v>39</v>
      </c>
      <c r="F60" s="85">
        <v>7.0000000000000007E-2</v>
      </c>
      <c r="G60" s="83">
        <f>F60*G59</f>
        <v>0.25799675999999999</v>
      </c>
      <c r="H60" s="196">
        <f>F60*H59</f>
        <v>0.23365650000000004</v>
      </c>
      <c r="I60" s="169">
        <f>F60*I59</f>
        <v>0.26744298</v>
      </c>
      <c r="J60" s="84">
        <f>F60*J59</f>
        <v>0.25799676000000005</v>
      </c>
      <c r="K60" s="84">
        <f t="shared" si="2"/>
        <v>1.017093</v>
      </c>
      <c r="L60" s="294" t="s">
        <v>188</v>
      </c>
      <c r="M60" s="293"/>
      <c r="N60" s="293" t="e">
        <f>K60*L60</f>
        <v>#VALUE!</v>
      </c>
      <c r="O60" s="318"/>
    </row>
    <row r="61" spans="1:15" s="86" customFormat="1" ht="31.5" customHeight="1" x14ac:dyDescent="0.25">
      <c r="A61" s="30" t="s">
        <v>119</v>
      </c>
      <c r="B61" s="80"/>
      <c r="C61" s="204" t="s">
        <v>168</v>
      </c>
      <c r="D61" s="252"/>
      <c r="E61" s="94" t="s">
        <v>37</v>
      </c>
      <c r="F61" s="104"/>
      <c r="G61" s="89">
        <f>G58*1.9*0.3+G56</f>
        <v>81.043399999999977</v>
      </c>
      <c r="H61" s="148">
        <f>H58*2*0.3+H56</f>
        <v>74.8</v>
      </c>
      <c r="I61" s="170">
        <f>I58*2*0.3+I56</f>
        <v>85.615999999999985</v>
      </c>
      <c r="J61" s="148">
        <f>J58*2*0.3+J56</f>
        <v>82.592000000000013</v>
      </c>
      <c r="K61" s="90">
        <f t="shared" si="2"/>
        <v>324.05139999999994</v>
      </c>
      <c r="L61" s="294" t="s">
        <v>188</v>
      </c>
      <c r="M61" s="293" t="e">
        <f>K61*L61</f>
        <v>#VALUE!</v>
      </c>
      <c r="N61" s="293"/>
      <c r="O61" s="318"/>
    </row>
    <row r="62" spans="1:15" s="86" customFormat="1" ht="15.75" customHeight="1" x14ac:dyDescent="0.25">
      <c r="A62" s="79"/>
      <c r="B62" s="221"/>
      <c r="C62" s="222" t="s">
        <v>74</v>
      </c>
      <c r="D62" s="258"/>
      <c r="E62" s="81" t="s">
        <v>39</v>
      </c>
      <c r="F62" s="85">
        <v>2</v>
      </c>
      <c r="G62" s="83">
        <f>F62*G61</f>
        <v>162.08679999999995</v>
      </c>
      <c r="H62" s="196">
        <f>F62*H61</f>
        <v>149.6</v>
      </c>
      <c r="I62" s="196">
        <f>F62*I61</f>
        <v>171.23199999999997</v>
      </c>
      <c r="J62" s="84">
        <f>F62*J61</f>
        <v>165.18400000000003</v>
      </c>
      <c r="K62" s="84">
        <f t="shared" si="2"/>
        <v>648.10279999999989</v>
      </c>
      <c r="L62" s="294" t="s">
        <v>188</v>
      </c>
      <c r="M62" s="293"/>
      <c r="N62" s="293" t="e">
        <f>K62*L62</f>
        <v>#VALUE!</v>
      </c>
      <c r="O62" s="318"/>
    </row>
    <row r="63" spans="1:15" s="72" customFormat="1" ht="18" customHeight="1" x14ac:dyDescent="0.25">
      <c r="A63" s="63" t="s">
        <v>4</v>
      </c>
      <c r="B63" s="64"/>
      <c r="C63" s="65" t="s">
        <v>75</v>
      </c>
      <c r="D63" s="47"/>
      <c r="E63" s="97"/>
      <c r="F63" s="68"/>
      <c r="G63" s="98"/>
      <c r="H63" s="198"/>
      <c r="I63" s="171"/>
      <c r="J63" s="99"/>
      <c r="K63" s="99"/>
      <c r="L63" s="325"/>
      <c r="M63" s="326"/>
      <c r="N63" s="322"/>
      <c r="O63" s="324"/>
    </row>
    <row r="64" spans="1:15" s="72" customFormat="1" ht="15.75" customHeight="1" x14ac:dyDescent="0.25">
      <c r="A64" s="30" t="s">
        <v>1</v>
      </c>
      <c r="B64" s="249"/>
      <c r="C64" s="87" t="s">
        <v>68</v>
      </c>
      <c r="D64" s="259">
        <v>5</v>
      </c>
      <c r="E64" s="33" t="s">
        <v>37</v>
      </c>
      <c r="F64" s="250"/>
      <c r="G64" s="194">
        <v>117.75</v>
      </c>
      <c r="H64" s="148">
        <v>130.1</v>
      </c>
      <c r="I64" s="202">
        <v>129.25</v>
      </c>
      <c r="J64" s="203">
        <v>129.34799999999998</v>
      </c>
      <c r="K64" s="203">
        <f t="shared" ref="K64:K70" si="3">SUM(G64:J64)</f>
        <v>506.44799999999998</v>
      </c>
      <c r="L64" s="294" t="s">
        <v>188</v>
      </c>
      <c r="M64" s="293" t="e">
        <f>K64*L64</f>
        <v>#VALUE!</v>
      </c>
      <c r="N64" s="293"/>
      <c r="O64" s="298"/>
    </row>
    <row r="65" spans="1:15" s="86" customFormat="1" ht="15.75" customHeight="1" x14ac:dyDescent="0.25">
      <c r="A65" s="79"/>
      <c r="B65" s="221"/>
      <c r="C65" s="222" t="s">
        <v>69</v>
      </c>
      <c r="D65" s="256"/>
      <c r="E65" s="81" t="s">
        <v>43</v>
      </c>
      <c r="F65" s="82">
        <f>1.02*0.08</f>
        <v>8.1600000000000006E-2</v>
      </c>
      <c r="G65" s="83">
        <f>F65*G64</f>
        <v>9.6084000000000014</v>
      </c>
      <c r="H65" s="196">
        <f>F65*H64</f>
        <v>10.616160000000001</v>
      </c>
      <c r="I65" s="169">
        <f>F65*I64</f>
        <v>10.546800000000001</v>
      </c>
      <c r="J65" s="84">
        <f>F65*J64</f>
        <v>10.5547968</v>
      </c>
      <c r="K65" s="84">
        <f t="shared" si="3"/>
        <v>41.326156800000007</v>
      </c>
      <c r="L65" s="294" t="s">
        <v>188</v>
      </c>
      <c r="M65" s="293"/>
      <c r="N65" s="293" t="e">
        <f>K65*L65</f>
        <v>#VALUE!</v>
      </c>
      <c r="O65" s="318"/>
    </row>
    <row r="66" spans="1:15" s="86" customFormat="1" ht="15.75" customHeight="1" x14ac:dyDescent="0.25">
      <c r="A66" s="30" t="s">
        <v>120</v>
      </c>
      <c r="B66" s="80"/>
      <c r="C66" s="87" t="s">
        <v>45</v>
      </c>
      <c r="D66" s="256"/>
      <c r="E66" s="75" t="s">
        <v>37</v>
      </c>
      <c r="F66" s="105"/>
      <c r="G66" s="89">
        <f>G64</f>
        <v>117.75</v>
      </c>
      <c r="H66" s="197">
        <f>H64</f>
        <v>130.1</v>
      </c>
      <c r="I66" s="170">
        <f>I64</f>
        <v>129.25</v>
      </c>
      <c r="J66" s="90">
        <f>J64</f>
        <v>129.34799999999998</v>
      </c>
      <c r="K66" s="90">
        <f t="shared" si="3"/>
        <v>506.44799999999998</v>
      </c>
      <c r="L66" s="294" t="s">
        <v>188</v>
      </c>
      <c r="M66" s="293" t="e">
        <f>K66*L66</f>
        <v>#VALUE!</v>
      </c>
      <c r="N66" s="293"/>
      <c r="O66" s="318"/>
    </row>
    <row r="67" spans="1:15" s="86" customFormat="1" ht="15.75" customHeight="1" x14ac:dyDescent="0.25">
      <c r="A67" s="79"/>
      <c r="B67" s="221"/>
      <c r="C67" s="217" t="s">
        <v>70</v>
      </c>
      <c r="D67" s="256"/>
      <c r="E67" s="81" t="s">
        <v>37</v>
      </c>
      <c r="F67" s="85">
        <f>1.1</f>
        <v>1.1000000000000001</v>
      </c>
      <c r="G67" s="83">
        <f>F67*G66</f>
        <v>129.52500000000001</v>
      </c>
      <c r="H67" s="196">
        <f>F67*H66</f>
        <v>143.11000000000001</v>
      </c>
      <c r="I67" s="169">
        <f>F67*I66</f>
        <v>142.17500000000001</v>
      </c>
      <c r="J67" s="84">
        <f>F67*J66</f>
        <v>142.28280000000001</v>
      </c>
      <c r="K67" s="84">
        <f t="shared" si="3"/>
        <v>557.09280000000001</v>
      </c>
      <c r="L67" s="294" t="s">
        <v>188</v>
      </c>
      <c r="M67" s="293"/>
      <c r="N67" s="293" t="e">
        <f>K67*L67</f>
        <v>#VALUE!</v>
      </c>
      <c r="O67" s="318"/>
    </row>
    <row r="68" spans="1:15" s="86" customFormat="1" ht="31.5" customHeight="1" x14ac:dyDescent="0.25">
      <c r="A68" s="30" t="s">
        <v>121</v>
      </c>
      <c r="B68" s="80"/>
      <c r="C68" s="87" t="s">
        <v>73</v>
      </c>
      <c r="D68" s="256"/>
      <c r="E68" s="102" t="s">
        <v>37</v>
      </c>
      <c r="F68" s="106"/>
      <c r="G68" s="89">
        <f>G66</f>
        <v>117.75</v>
      </c>
      <c r="H68" s="197">
        <f>H66</f>
        <v>130.1</v>
      </c>
      <c r="I68" s="170">
        <f>I66</f>
        <v>129.25</v>
      </c>
      <c r="J68" s="90">
        <f>J66</f>
        <v>129.34799999999998</v>
      </c>
      <c r="K68" s="90">
        <f t="shared" si="3"/>
        <v>506.44799999999998</v>
      </c>
      <c r="L68" s="294" t="s">
        <v>188</v>
      </c>
      <c r="M68" s="293" t="e">
        <f>K68*L68</f>
        <v>#VALUE!</v>
      </c>
      <c r="N68" s="293"/>
      <c r="O68" s="318"/>
    </row>
    <row r="69" spans="1:15" s="86" customFormat="1" ht="15.75" customHeight="1" x14ac:dyDescent="0.25">
      <c r="A69" s="79"/>
      <c r="B69" s="221"/>
      <c r="C69" s="222" t="s">
        <v>57</v>
      </c>
      <c r="D69" s="256"/>
      <c r="E69" s="92" t="s">
        <v>43</v>
      </c>
      <c r="F69" s="88">
        <f>1.02*0.07</f>
        <v>7.1400000000000005E-2</v>
      </c>
      <c r="G69" s="83">
        <f>F69*G68</f>
        <v>8.407350000000001</v>
      </c>
      <c r="H69" s="196">
        <f>F69*H68</f>
        <v>9.2891399999999997</v>
      </c>
      <c r="I69" s="169">
        <f>F69*I68</f>
        <v>9.2284500000000005</v>
      </c>
      <c r="J69" s="84">
        <f>F69*J68</f>
        <v>9.2354471999999994</v>
      </c>
      <c r="K69" s="84">
        <f t="shared" si="3"/>
        <v>36.160387200000002</v>
      </c>
      <c r="L69" s="294" t="s">
        <v>188</v>
      </c>
      <c r="M69" s="293"/>
      <c r="N69" s="293" t="e">
        <f>K69*L69</f>
        <v>#VALUE!</v>
      </c>
      <c r="O69" s="318"/>
    </row>
    <row r="70" spans="1:15" s="86" customFormat="1" ht="15.75" customHeight="1" x14ac:dyDescent="0.25">
      <c r="A70" s="79"/>
      <c r="B70" s="221"/>
      <c r="C70" s="222" t="s">
        <v>65</v>
      </c>
      <c r="D70" s="257"/>
      <c r="E70" s="92" t="s">
        <v>39</v>
      </c>
      <c r="F70" s="93">
        <v>7.0000000000000007E-2</v>
      </c>
      <c r="G70" s="83">
        <f>F70*G69</f>
        <v>0.58851450000000016</v>
      </c>
      <c r="H70" s="196">
        <f>F70*H69</f>
        <v>0.65023980000000003</v>
      </c>
      <c r="I70" s="169">
        <f>F70*I69</f>
        <v>0.64599150000000005</v>
      </c>
      <c r="J70" s="84">
        <f>F70*J69</f>
        <v>0.64648130400000003</v>
      </c>
      <c r="K70" s="84">
        <f t="shared" si="3"/>
        <v>2.5312271040000001</v>
      </c>
      <c r="L70" s="294" t="s">
        <v>188</v>
      </c>
      <c r="M70" s="293"/>
      <c r="N70" s="293" t="e">
        <f>K70*L70</f>
        <v>#VALUE!</v>
      </c>
      <c r="O70" s="318"/>
    </row>
    <row r="71" spans="1:15" s="72" customFormat="1" ht="18" customHeight="1" x14ac:dyDescent="0.25">
      <c r="A71" s="63" t="s">
        <v>8</v>
      </c>
      <c r="B71" s="64"/>
      <c r="C71" s="65" t="s">
        <v>76</v>
      </c>
      <c r="D71" s="47"/>
      <c r="E71" s="97"/>
      <c r="F71" s="68"/>
      <c r="G71" s="98"/>
      <c r="H71" s="198"/>
      <c r="I71" s="171"/>
      <c r="J71" s="99"/>
      <c r="K71" s="99"/>
      <c r="L71" s="325"/>
      <c r="M71" s="322"/>
      <c r="N71" s="326"/>
      <c r="O71" s="324"/>
    </row>
    <row r="72" spans="1:15" s="86" customFormat="1" ht="31.5" customHeight="1" x14ac:dyDescent="0.25">
      <c r="A72" s="30" t="s">
        <v>110</v>
      </c>
      <c r="B72" s="80"/>
      <c r="C72" s="101" t="s">
        <v>168</v>
      </c>
      <c r="D72" s="252">
        <v>6</v>
      </c>
      <c r="E72" s="102" t="s">
        <v>37</v>
      </c>
      <c r="F72" s="106"/>
      <c r="G72" s="89">
        <f>G74*1.5*0.3+G74</f>
        <v>5.4085000000000001</v>
      </c>
      <c r="H72" s="197">
        <f t="shared" ref="H72:J72" si="4">H74*1.5*0.3+H74</f>
        <v>5.4085000000000001</v>
      </c>
      <c r="I72" s="170">
        <f t="shared" si="4"/>
        <v>5.4085000000000001</v>
      </c>
      <c r="J72" s="90">
        <f t="shared" si="4"/>
        <v>5.4085000000000001</v>
      </c>
      <c r="K72" s="90">
        <f t="shared" ref="K72:K80" si="5">SUM(G72:J72)</f>
        <v>21.634</v>
      </c>
      <c r="L72" s="294" t="s">
        <v>188</v>
      </c>
      <c r="M72" s="293" t="e">
        <f>K72*L72</f>
        <v>#VALUE!</v>
      </c>
      <c r="N72" s="293"/>
      <c r="O72" s="318"/>
    </row>
    <row r="73" spans="1:15" s="86" customFormat="1" ht="15.75" customHeight="1" x14ac:dyDescent="0.25">
      <c r="A73" s="79"/>
      <c r="B73" s="221"/>
      <c r="C73" s="217" t="s">
        <v>74</v>
      </c>
      <c r="D73" s="252"/>
      <c r="E73" s="92" t="s">
        <v>39</v>
      </c>
      <c r="F73" s="93">
        <v>2</v>
      </c>
      <c r="G73" s="83">
        <f>F73*G72</f>
        <v>10.817</v>
      </c>
      <c r="H73" s="196">
        <f>F73*H72</f>
        <v>10.817</v>
      </c>
      <c r="I73" s="169">
        <f>F73*I72</f>
        <v>10.817</v>
      </c>
      <c r="J73" s="107">
        <f>F73*J72</f>
        <v>10.817</v>
      </c>
      <c r="K73" s="84">
        <f t="shared" si="5"/>
        <v>43.268000000000001</v>
      </c>
      <c r="L73" s="294" t="s">
        <v>188</v>
      </c>
      <c r="M73" s="293"/>
      <c r="N73" s="293" t="e">
        <f>K73*L73</f>
        <v>#VALUE!</v>
      </c>
      <c r="O73" s="318"/>
    </row>
    <row r="74" spans="1:15" s="86" customFormat="1" ht="15.75" customHeight="1" x14ac:dyDescent="0.25">
      <c r="A74" s="30" t="s">
        <v>111</v>
      </c>
      <c r="B74" s="80"/>
      <c r="C74" s="101" t="s">
        <v>68</v>
      </c>
      <c r="D74" s="252"/>
      <c r="E74" s="102" t="s">
        <v>37</v>
      </c>
      <c r="F74" s="95"/>
      <c r="G74" s="89">
        <v>3.73</v>
      </c>
      <c r="H74" s="197">
        <v>3.73</v>
      </c>
      <c r="I74" s="170">
        <v>3.73</v>
      </c>
      <c r="J74" s="90">
        <v>3.73</v>
      </c>
      <c r="K74" s="90">
        <f t="shared" si="5"/>
        <v>14.92</v>
      </c>
      <c r="L74" s="294" t="s">
        <v>188</v>
      </c>
      <c r="M74" s="293" t="e">
        <f>K74*L74</f>
        <v>#VALUE!</v>
      </c>
      <c r="N74" s="293"/>
      <c r="O74" s="318"/>
    </row>
    <row r="75" spans="1:15" s="86" customFormat="1" ht="15.75" customHeight="1" x14ac:dyDescent="0.25">
      <c r="A75" s="79"/>
      <c r="B75" s="221"/>
      <c r="C75" s="222" t="s">
        <v>69</v>
      </c>
      <c r="D75" s="252"/>
      <c r="E75" s="92" t="s">
        <v>43</v>
      </c>
      <c r="F75" s="88">
        <f>1.02*0.08</f>
        <v>8.1600000000000006E-2</v>
      </c>
      <c r="G75" s="83">
        <f>F75*G74</f>
        <v>0.30436800000000003</v>
      </c>
      <c r="H75" s="196">
        <f>F75*H74</f>
        <v>0.30436800000000003</v>
      </c>
      <c r="I75" s="169">
        <f>F75*I74</f>
        <v>0.30436800000000003</v>
      </c>
      <c r="J75" s="84">
        <f>F75*J74</f>
        <v>0.30436800000000003</v>
      </c>
      <c r="K75" s="84">
        <f t="shared" si="5"/>
        <v>1.2174720000000001</v>
      </c>
      <c r="L75" s="294" t="s">
        <v>188</v>
      </c>
      <c r="M75" s="293"/>
      <c r="N75" s="293" t="e">
        <f>K75*L75</f>
        <v>#VALUE!</v>
      </c>
      <c r="O75" s="318"/>
    </row>
    <row r="76" spans="1:15" s="86" customFormat="1" ht="15.75" customHeight="1" x14ac:dyDescent="0.25">
      <c r="A76" s="30" t="s">
        <v>122</v>
      </c>
      <c r="B76" s="80"/>
      <c r="C76" s="87" t="s">
        <v>45</v>
      </c>
      <c r="D76" s="252"/>
      <c r="E76" s="102" t="s">
        <v>37</v>
      </c>
      <c r="F76" s="108"/>
      <c r="G76" s="89">
        <f>G74</f>
        <v>3.73</v>
      </c>
      <c r="H76" s="197">
        <f t="shared" ref="H76:I76" si="6">H74</f>
        <v>3.73</v>
      </c>
      <c r="I76" s="170">
        <f t="shared" si="6"/>
        <v>3.73</v>
      </c>
      <c r="J76" s="90">
        <f>J74</f>
        <v>3.73</v>
      </c>
      <c r="K76" s="90">
        <f t="shared" si="5"/>
        <v>14.92</v>
      </c>
      <c r="L76" s="294" t="s">
        <v>188</v>
      </c>
      <c r="M76" s="293" t="e">
        <f>K76*L76</f>
        <v>#VALUE!</v>
      </c>
      <c r="N76" s="293"/>
      <c r="O76" s="318"/>
    </row>
    <row r="77" spans="1:15" s="86" customFormat="1" ht="15.75" customHeight="1" x14ac:dyDescent="0.25">
      <c r="A77" s="79"/>
      <c r="B77" s="221"/>
      <c r="C77" s="217" t="s">
        <v>70</v>
      </c>
      <c r="D77" s="252"/>
      <c r="E77" s="81" t="s">
        <v>37</v>
      </c>
      <c r="F77" s="85">
        <f>1.1</f>
        <v>1.1000000000000001</v>
      </c>
      <c r="G77" s="83">
        <f>F77*G76</f>
        <v>4.1030000000000006</v>
      </c>
      <c r="H77" s="196">
        <f>F77*H76</f>
        <v>4.1030000000000006</v>
      </c>
      <c r="I77" s="169">
        <f>F77*I76</f>
        <v>4.1030000000000006</v>
      </c>
      <c r="J77" s="84">
        <f>F77*J76</f>
        <v>4.1030000000000006</v>
      </c>
      <c r="K77" s="84">
        <f t="shared" si="5"/>
        <v>16.412000000000003</v>
      </c>
      <c r="L77" s="294" t="s">
        <v>188</v>
      </c>
      <c r="M77" s="293"/>
      <c r="N77" s="293" t="e">
        <f>K77*L77</f>
        <v>#VALUE!</v>
      </c>
      <c r="O77" s="318"/>
    </row>
    <row r="78" spans="1:15" s="86" customFormat="1" ht="31.5" customHeight="1" x14ac:dyDescent="0.25">
      <c r="A78" s="30" t="s">
        <v>123</v>
      </c>
      <c r="B78" s="80"/>
      <c r="C78" s="87" t="s">
        <v>73</v>
      </c>
      <c r="D78" s="252"/>
      <c r="E78" s="102" t="s">
        <v>37</v>
      </c>
      <c r="F78" s="108"/>
      <c r="G78" s="89">
        <f>G74</f>
        <v>3.73</v>
      </c>
      <c r="H78" s="197">
        <f>H76</f>
        <v>3.73</v>
      </c>
      <c r="I78" s="170">
        <f>I76</f>
        <v>3.73</v>
      </c>
      <c r="J78" s="90">
        <f>J74</f>
        <v>3.73</v>
      </c>
      <c r="K78" s="90">
        <f t="shared" si="5"/>
        <v>14.92</v>
      </c>
      <c r="L78" s="294" t="s">
        <v>188</v>
      </c>
      <c r="M78" s="293" t="e">
        <f>K78*L78</f>
        <v>#VALUE!</v>
      </c>
      <c r="N78" s="293"/>
      <c r="O78" s="318"/>
    </row>
    <row r="79" spans="1:15" s="86" customFormat="1" ht="15.75" customHeight="1" x14ac:dyDescent="0.25">
      <c r="A79" s="79"/>
      <c r="B79" s="221"/>
      <c r="C79" s="222" t="s">
        <v>57</v>
      </c>
      <c r="D79" s="252"/>
      <c r="E79" s="92" t="s">
        <v>43</v>
      </c>
      <c r="F79" s="88">
        <f>1.02*0.07</f>
        <v>7.1400000000000005E-2</v>
      </c>
      <c r="G79" s="83">
        <f>F79*G78</f>
        <v>0.266322</v>
      </c>
      <c r="H79" s="196">
        <f>F79*H78</f>
        <v>0.266322</v>
      </c>
      <c r="I79" s="169">
        <f>F79*I78</f>
        <v>0.266322</v>
      </c>
      <c r="J79" s="84">
        <f>F79*J78</f>
        <v>0.266322</v>
      </c>
      <c r="K79" s="84">
        <f t="shared" si="5"/>
        <v>1.065288</v>
      </c>
      <c r="L79" s="294" t="s">
        <v>188</v>
      </c>
      <c r="M79" s="293"/>
      <c r="N79" s="293" t="e">
        <f>K79*L79</f>
        <v>#VALUE!</v>
      </c>
      <c r="O79" s="318"/>
    </row>
    <row r="80" spans="1:15" s="86" customFormat="1" ht="15.75" customHeight="1" x14ac:dyDescent="0.25">
      <c r="A80" s="79"/>
      <c r="B80" s="221"/>
      <c r="C80" s="222" t="s">
        <v>65</v>
      </c>
      <c r="D80" s="258"/>
      <c r="E80" s="92" t="s">
        <v>39</v>
      </c>
      <c r="F80" s="93">
        <v>7.0000000000000007E-2</v>
      </c>
      <c r="G80" s="83">
        <f>F80*G78</f>
        <v>0.2611</v>
      </c>
      <c r="H80" s="196">
        <f>F80*H79</f>
        <v>1.8642540000000003E-2</v>
      </c>
      <c r="I80" s="169">
        <f>F80*I79</f>
        <v>1.8642540000000003E-2</v>
      </c>
      <c r="J80" s="84">
        <f>F80*J78</f>
        <v>0.2611</v>
      </c>
      <c r="K80" s="84">
        <f t="shared" si="5"/>
        <v>0.55948507999999997</v>
      </c>
      <c r="L80" s="294" t="s">
        <v>188</v>
      </c>
      <c r="M80" s="293"/>
      <c r="N80" s="293" t="e">
        <f>K80*L80</f>
        <v>#VALUE!</v>
      </c>
      <c r="O80" s="318"/>
    </row>
    <row r="81" spans="1:15" s="111" customFormat="1" ht="18" customHeight="1" x14ac:dyDescent="0.25">
      <c r="A81" s="63" t="s">
        <v>9</v>
      </c>
      <c r="B81" s="64"/>
      <c r="C81" s="65" t="s">
        <v>77</v>
      </c>
      <c r="D81" s="109"/>
      <c r="E81" s="97"/>
      <c r="F81" s="110"/>
      <c r="G81" s="98"/>
      <c r="H81" s="198"/>
      <c r="I81" s="171"/>
      <c r="J81" s="99"/>
      <c r="K81" s="99"/>
      <c r="L81" s="325"/>
      <c r="M81" s="322"/>
      <c r="N81" s="326"/>
      <c r="O81" s="327"/>
    </row>
    <row r="82" spans="1:15" s="111" customFormat="1" ht="15.75" customHeight="1" x14ac:dyDescent="0.25">
      <c r="A82" s="30" t="s">
        <v>2</v>
      </c>
      <c r="B82" s="112"/>
      <c r="C82" s="32" t="s">
        <v>78</v>
      </c>
      <c r="D82" s="260" t="s">
        <v>79</v>
      </c>
      <c r="E82" s="102" t="s">
        <v>37</v>
      </c>
      <c r="F82" s="113"/>
      <c r="G82" s="89">
        <v>4</v>
      </c>
      <c r="H82" s="197">
        <v>4.22</v>
      </c>
      <c r="I82" s="170">
        <v>4.22</v>
      </c>
      <c r="J82" s="90">
        <v>3.29</v>
      </c>
      <c r="K82" s="90">
        <f t="shared" ref="K82:K90" si="7">SUM(G82:J82)</f>
        <v>15.729999999999997</v>
      </c>
      <c r="L82" s="294" t="s">
        <v>188</v>
      </c>
      <c r="M82" s="293" t="e">
        <f>K82*L82</f>
        <v>#VALUE!</v>
      </c>
      <c r="N82" s="293"/>
      <c r="O82" s="319"/>
    </row>
    <row r="83" spans="1:15" s="86" customFormat="1" ht="15.75" customHeight="1" x14ac:dyDescent="0.25">
      <c r="A83" s="79"/>
      <c r="B83" s="221"/>
      <c r="C83" s="217" t="s">
        <v>80</v>
      </c>
      <c r="D83" s="252"/>
      <c r="E83" s="92" t="s">
        <v>43</v>
      </c>
      <c r="F83" s="88">
        <f>1.02*0.05</f>
        <v>5.1000000000000004E-2</v>
      </c>
      <c r="G83" s="83">
        <f>F83*G82</f>
        <v>0.20400000000000001</v>
      </c>
      <c r="H83" s="196">
        <f>F83*H82</f>
        <v>0.21521999999999999</v>
      </c>
      <c r="I83" s="169">
        <f>F83*I82</f>
        <v>0.21521999999999999</v>
      </c>
      <c r="J83" s="84">
        <f>F83*J82</f>
        <v>0.16779000000000002</v>
      </c>
      <c r="K83" s="84">
        <f t="shared" si="7"/>
        <v>0.80223</v>
      </c>
      <c r="L83" s="294" t="s">
        <v>188</v>
      </c>
      <c r="M83" s="293"/>
      <c r="N83" s="293" t="e">
        <f>K83*L83</f>
        <v>#VALUE!</v>
      </c>
      <c r="O83" s="318"/>
    </row>
    <row r="84" spans="1:15" s="86" customFormat="1" ht="39.75" customHeight="1" x14ac:dyDescent="0.25">
      <c r="A84" s="30" t="s">
        <v>124</v>
      </c>
      <c r="B84" s="80"/>
      <c r="C84" s="87" t="s">
        <v>81</v>
      </c>
      <c r="D84" s="252"/>
      <c r="E84" s="102" t="s">
        <v>82</v>
      </c>
      <c r="F84" s="88"/>
      <c r="G84" s="89">
        <f>G82*1.5</f>
        <v>6</v>
      </c>
      <c r="H84" s="197">
        <f t="shared" ref="H84:J84" si="8">H82*1.5</f>
        <v>6.33</v>
      </c>
      <c r="I84" s="170">
        <f t="shared" si="8"/>
        <v>6.33</v>
      </c>
      <c r="J84" s="90">
        <f t="shared" si="8"/>
        <v>4.9350000000000005</v>
      </c>
      <c r="K84" s="90">
        <f t="shared" si="7"/>
        <v>23.594999999999999</v>
      </c>
      <c r="L84" s="294" t="s">
        <v>188</v>
      </c>
      <c r="M84" s="293" t="e">
        <f>K84*L84</f>
        <v>#VALUE!</v>
      </c>
      <c r="N84" s="293"/>
      <c r="O84" s="318"/>
    </row>
    <row r="85" spans="1:15" s="86" customFormat="1" ht="15.75" customHeight="1" x14ac:dyDescent="0.25">
      <c r="A85" s="79"/>
      <c r="B85" s="221"/>
      <c r="C85" s="217" t="s">
        <v>83</v>
      </c>
      <c r="D85" s="252"/>
      <c r="E85" s="81" t="s">
        <v>82</v>
      </c>
      <c r="F85" s="93">
        <v>1.02</v>
      </c>
      <c r="G85" s="83">
        <f>F85*G84</f>
        <v>6.12</v>
      </c>
      <c r="H85" s="196">
        <f>F85*H84</f>
        <v>6.4565999999999999</v>
      </c>
      <c r="I85" s="169">
        <f>F85*I84</f>
        <v>6.4565999999999999</v>
      </c>
      <c r="J85" s="84">
        <f>F85*J84</f>
        <v>5.0337000000000005</v>
      </c>
      <c r="K85" s="84">
        <f t="shared" si="7"/>
        <v>24.0669</v>
      </c>
      <c r="L85" s="294" t="s">
        <v>188</v>
      </c>
      <c r="M85" s="293"/>
      <c r="N85" s="293" t="e">
        <f>K85*L85</f>
        <v>#VALUE!</v>
      </c>
      <c r="O85" s="318"/>
    </row>
    <row r="86" spans="1:15" s="86" customFormat="1" ht="15.75" customHeight="1" x14ac:dyDescent="0.25">
      <c r="A86" s="30" t="s">
        <v>125</v>
      </c>
      <c r="B86" s="80"/>
      <c r="C86" s="87" t="s">
        <v>45</v>
      </c>
      <c r="D86" s="252"/>
      <c r="E86" s="102" t="s">
        <v>37</v>
      </c>
      <c r="F86" s="95"/>
      <c r="G86" s="89">
        <f>G82</f>
        <v>4</v>
      </c>
      <c r="H86" s="197">
        <f t="shared" ref="H86:I86" si="9">H82</f>
        <v>4.22</v>
      </c>
      <c r="I86" s="170">
        <f t="shared" si="9"/>
        <v>4.22</v>
      </c>
      <c r="J86" s="90">
        <f>J82</f>
        <v>3.29</v>
      </c>
      <c r="K86" s="90">
        <f t="shared" si="7"/>
        <v>15.729999999999997</v>
      </c>
      <c r="L86" s="294" t="s">
        <v>188</v>
      </c>
      <c r="M86" s="293" t="e">
        <f>K86*L86</f>
        <v>#VALUE!</v>
      </c>
      <c r="N86" s="293"/>
      <c r="O86" s="318"/>
    </row>
    <row r="87" spans="1:15" s="86" customFormat="1" ht="15.75" customHeight="1" x14ac:dyDescent="0.25">
      <c r="A87" s="79"/>
      <c r="B87" s="221"/>
      <c r="C87" s="217" t="s">
        <v>70</v>
      </c>
      <c r="D87" s="252"/>
      <c r="E87" s="92" t="s">
        <v>37</v>
      </c>
      <c r="F87" s="93">
        <v>1.1000000000000001</v>
      </c>
      <c r="G87" s="83">
        <f>F87*G86</f>
        <v>4.4000000000000004</v>
      </c>
      <c r="H87" s="196">
        <f>F87*H86</f>
        <v>4.6420000000000003</v>
      </c>
      <c r="I87" s="169">
        <f>F87*I86</f>
        <v>4.6420000000000003</v>
      </c>
      <c r="J87" s="84">
        <f>F87*J86</f>
        <v>3.6190000000000002</v>
      </c>
      <c r="K87" s="84">
        <f t="shared" si="7"/>
        <v>17.303000000000001</v>
      </c>
      <c r="L87" s="294" t="s">
        <v>188</v>
      </c>
      <c r="M87" s="293"/>
      <c r="N87" s="293" t="e">
        <f>K87*L87</f>
        <v>#VALUE!</v>
      </c>
      <c r="O87" s="318"/>
    </row>
    <row r="88" spans="1:15" s="86" customFormat="1" ht="31.5" x14ac:dyDescent="0.25">
      <c r="A88" s="30" t="s">
        <v>126</v>
      </c>
      <c r="B88" s="80"/>
      <c r="C88" s="87" t="s">
        <v>166</v>
      </c>
      <c r="D88" s="252"/>
      <c r="E88" s="102" t="s">
        <v>37</v>
      </c>
      <c r="F88" s="114"/>
      <c r="G88" s="89">
        <f>G82</f>
        <v>4</v>
      </c>
      <c r="H88" s="197">
        <f>H86</f>
        <v>4.22</v>
      </c>
      <c r="I88" s="170">
        <f>I86</f>
        <v>4.22</v>
      </c>
      <c r="J88" s="90">
        <f>J82</f>
        <v>3.29</v>
      </c>
      <c r="K88" s="90">
        <f t="shared" si="7"/>
        <v>15.729999999999997</v>
      </c>
      <c r="L88" s="294" t="s">
        <v>188</v>
      </c>
      <c r="M88" s="293" t="e">
        <f>K88*L88</f>
        <v>#VALUE!</v>
      </c>
      <c r="N88" s="293"/>
      <c r="O88" s="318"/>
    </row>
    <row r="89" spans="1:15" s="86" customFormat="1" ht="15.75" customHeight="1" x14ac:dyDescent="0.25">
      <c r="A89" s="79"/>
      <c r="B89" s="221"/>
      <c r="C89" s="222" t="s">
        <v>84</v>
      </c>
      <c r="D89" s="252"/>
      <c r="E89" s="81" t="s">
        <v>43</v>
      </c>
      <c r="F89" s="82">
        <f>1.02*0.07</f>
        <v>7.1400000000000005E-2</v>
      </c>
      <c r="G89" s="83">
        <f>F89*G88</f>
        <v>0.28560000000000002</v>
      </c>
      <c r="H89" s="196">
        <f>F89*H88</f>
        <v>0.30130800000000002</v>
      </c>
      <c r="I89" s="169">
        <f>F89*I88</f>
        <v>0.30130800000000002</v>
      </c>
      <c r="J89" s="84">
        <f>F89*J88</f>
        <v>0.23490600000000003</v>
      </c>
      <c r="K89" s="84">
        <f t="shared" si="7"/>
        <v>1.123122</v>
      </c>
      <c r="L89" s="294" t="s">
        <v>188</v>
      </c>
      <c r="M89" s="293"/>
      <c r="N89" s="293" t="e">
        <f>K89*L89</f>
        <v>#VALUE!</v>
      </c>
      <c r="O89" s="318"/>
    </row>
    <row r="90" spans="1:15" s="86" customFormat="1" ht="15.75" customHeight="1" x14ac:dyDescent="0.25">
      <c r="A90" s="79"/>
      <c r="B90" s="221"/>
      <c r="C90" s="217" t="s">
        <v>85</v>
      </c>
      <c r="D90" s="258"/>
      <c r="E90" s="81" t="s">
        <v>37</v>
      </c>
      <c r="F90" s="85">
        <v>1.1000000000000001</v>
      </c>
      <c r="G90" s="83">
        <f>F90*G88</f>
        <v>4.4000000000000004</v>
      </c>
      <c r="H90" s="196">
        <f>F90*H89</f>
        <v>0.33143880000000003</v>
      </c>
      <c r="I90" s="169">
        <f>F90*I89</f>
        <v>0.33143880000000003</v>
      </c>
      <c r="J90" s="84">
        <f>F90*J88</f>
        <v>3.6190000000000002</v>
      </c>
      <c r="K90" s="84">
        <f t="shared" si="7"/>
        <v>8.6818776</v>
      </c>
      <c r="L90" s="294" t="s">
        <v>188</v>
      </c>
      <c r="M90" s="293"/>
      <c r="N90" s="293" t="e">
        <f>K90*L90</f>
        <v>#VALUE!</v>
      </c>
      <c r="O90" s="318"/>
    </row>
    <row r="91" spans="1:15" s="111" customFormat="1" ht="18" customHeight="1" x14ac:dyDescent="0.25">
      <c r="A91" s="63" t="s">
        <v>13</v>
      </c>
      <c r="B91" s="64"/>
      <c r="C91" s="65" t="s">
        <v>86</v>
      </c>
      <c r="D91" s="115"/>
      <c r="E91" s="97"/>
      <c r="F91" s="110"/>
      <c r="G91" s="98"/>
      <c r="H91" s="198"/>
      <c r="I91" s="171"/>
      <c r="J91" s="99"/>
      <c r="K91" s="99"/>
      <c r="L91" s="325"/>
      <c r="M91" s="322"/>
      <c r="N91" s="326"/>
      <c r="O91" s="327"/>
    </row>
    <row r="92" spans="1:15" s="111" customFormat="1" ht="18" customHeight="1" x14ac:dyDescent="0.25">
      <c r="A92" s="30" t="s">
        <v>127</v>
      </c>
      <c r="B92" s="112"/>
      <c r="C92" s="101" t="s">
        <v>68</v>
      </c>
      <c r="D92" s="260" t="s">
        <v>87</v>
      </c>
      <c r="E92" s="102" t="s">
        <v>37</v>
      </c>
      <c r="F92" s="91"/>
      <c r="G92" s="89">
        <v>12.46</v>
      </c>
      <c r="H92" s="197">
        <v>12.46</v>
      </c>
      <c r="I92" s="170">
        <v>12.46</v>
      </c>
      <c r="J92" s="90">
        <v>12.46</v>
      </c>
      <c r="K92" s="90">
        <f t="shared" ref="K92:K98" si="10">SUM(G92:J92)</f>
        <v>49.84</v>
      </c>
      <c r="L92" s="294" t="s">
        <v>188</v>
      </c>
      <c r="M92" s="293" t="e">
        <f>K92*L92</f>
        <v>#VALUE!</v>
      </c>
      <c r="N92" s="293"/>
      <c r="O92" s="319"/>
    </row>
    <row r="93" spans="1:15" s="86" customFormat="1" ht="15.75" customHeight="1" x14ac:dyDescent="0.25">
      <c r="A93" s="79"/>
      <c r="B93" s="221"/>
      <c r="C93" s="222" t="s">
        <v>88</v>
      </c>
      <c r="D93" s="252"/>
      <c r="E93" s="92" t="s">
        <v>43</v>
      </c>
      <c r="F93" s="88">
        <f>1.02*0.05</f>
        <v>5.1000000000000004E-2</v>
      </c>
      <c r="G93" s="83">
        <f>F93*G92</f>
        <v>0.63546000000000014</v>
      </c>
      <c r="H93" s="196">
        <f>F93*H92</f>
        <v>0.63546000000000014</v>
      </c>
      <c r="I93" s="169">
        <f>F93*I92</f>
        <v>0.63546000000000014</v>
      </c>
      <c r="J93" s="84">
        <f>F93*J92</f>
        <v>0.63546000000000014</v>
      </c>
      <c r="K93" s="84">
        <f t="shared" si="10"/>
        <v>2.5418400000000005</v>
      </c>
      <c r="L93" s="294" t="s">
        <v>188</v>
      </c>
      <c r="M93" s="293"/>
      <c r="N93" s="293" t="e">
        <f>K93*L93</f>
        <v>#VALUE!</v>
      </c>
      <c r="O93" s="318"/>
    </row>
    <row r="94" spans="1:15" s="86" customFormat="1" ht="15.75" customHeight="1" x14ac:dyDescent="0.25">
      <c r="A94" s="30" t="s">
        <v>128</v>
      </c>
      <c r="B94" s="80"/>
      <c r="C94" s="87" t="s">
        <v>45</v>
      </c>
      <c r="D94" s="252"/>
      <c r="E94" s="102" t="s">
        <v>37</v>
      </c>
      <c r="F94" s="95"/>
      <c r="G94" s="89">
        <f>G92</f>
        <v>12.46</v>
      </c>
      <c r="H94" s="197">
        <f>H92</f>
        <v>12.46</v>
      </c>
      <c r="I94" s="170">
        <f>I92</f>
        <v>12.46</v>
      </c>
      <c r="J94" s="90">
        <f>J92</f>
        <v>12.46</v>
      </c>
      <c r="K94" s="90">
        <f t="shared" si="10"/>
        <v>49.84</v>
      </c>
      <c r="L94" s="294" t="s">
        <v>188</v>
      </c>
      <c r="M94" s="293" t="e">
        <f>K94*L94</f>
        <v>#VALUE!</v>
      </c>
      <c r="N94" s="293"/>
      <c r="O94" s="318"/>
    </row>
    <row r="95" spans="1:15" s="86" customFormat="1" ht="15.75" customHeight="1" x14ac:dyDescent="0.25">
      <c r="A95" s="79"/>
      <c r="B95" s="221"/>
      <c r="C95" s="217" t="s">
        <v>70</v>
      </c>
      <c r="D95" s="252"/>
      <c r="E95" s="92" t="s">
        <v>37</v>
      </c>
      <c r="F95" s="93">
        <v>1.1000000000000001</v>
      </c>
      <c r="G95" s="83">
        <f>F95*G94</f>
        <v>13.706000000000001</v>
      </c>
      <c r="H95" s="196">
        <f>F95*H94</f>
        <v>13.706000000000001</v>
      </c>
      <c r="I95" s="169">
        <f>F95*I94</f>
        <v>13.706000000000001</v>
      </c>
      <c r="J95" s="84">
        <f>F95*J94</f>
        <v>13.706000000000001</v>
      </c>
      <c r="K95" s="84">
        <f t="shared" si="10"/>
        <v>54.824000000000005</v>
      </c>
      <c r="L95" s="294" t="s">
        <v>188</v>
      </c>
      <c r="M95" s="293"/>
      <c r="N95" s="293" t="e">
        <f>K95*L95</f>
        <v>#VALUE!</v>
      </c>
      <c r="O95" s="318"/>
    </row>
    <row r="96" spans="1:15" s="86" customFormat="1" ht="31.5" customHeight="1" x14ac:dyDescent="0.25">
      <c r="A96" s="30" t="s">
        <v>129</v>
      </c>
      <c r="B96" s="80"/>
      <c r="C96" s="87" t="s">
        <v>73</v>
      </c>
      <c r="D96" s="252"/>
      <c r="E96" s="102" t="s">
        <v>37</v>
      </c>
      <c r="F96" s="114"/>
      <c r="G96" s="89">
        <f>G92</f>
        <v>12.46</v>
      </c>
      <c r="H96" s="197">
        <f>H92</f>
        <v>12.46</v>
      </c>
      <c r="I96" s="170">
        <f>I92</f>
        <v>12.46</v>
      </c>
      <c r="J96" s="90">
        <f>J92</f>
        <v>12.46</v>
      </c>
      <c r="K96" s="90">
        <f t="shared" si="10"/>
        <v>49.84</v>
      </c>
      <c r="L96" s="294" t="s">
        <v>188</v>
      </c>
      <c r="M96" s="293" t="e">
        <f>K96*L96</f>
        <v>#VALUE!</v>
      </c>
      <c r="N96" s="293"/>
      <c r="O96" s="318"/>
    </row>
    <row r="97" spans="1:15" s="86" customFormat="1" ht="15.75" customHeight="1" x14ac:dyDescent="0.25">
      <c r="A97" s="79"/>
      <c r="B97" s="221"/>
      <c r="C97" s="222" t="s">
        <v>57</v>
      </c>
      <c r="D97" s="252"/>
      <c r="E97" s="81" t="s">
        <v>43</v>
      </c>
      <c r="F97" s="82">
        <f>1.02*0.07</f>
        <v>7.1400000000000005E-2</v>
      </c>
      <c r="G97" s="83">
        <f>F97*G96</f>
        <v>0.8896440000000001</v>
      </c>
      <c r="H97" s="196">
        <f>F97*H96</f>
        <v>0.8896440000000001</v>
      </c>
      <c r="I97" s="169">
        <f>F97*I96</f>
        <v>0.8896440000000001</v>
      </c>
      <c r="J97" s="84">
        <f>F97*J96</f>
        <v>0.8896440000000001</v>
      </c>
      <c r="K97" s="84">
        <f t="shared" si="10"/>
        <v>3.5585760000000004</v>
      </c>
      <c r="L97" s="294" t="s">
        <v>188</v>
      </c>
      <c r="M97" s="293"/>
      <c r="N97" s="293" t="e">
        <f>K97*L97</f>
        <v>#VALUE!</v>
      </c>
      <c r="O97" s="318"/>
    </row>
    <row r="98" spans="1:15" s="86" customFormat="1" ht="15.75" customHeight="1" x14ac:dyDescent="0.25">
      <c r="A98" s="116"/>
      <c r="B98" s="223"/>
      <c r="C98" s="224" t="s">
        <v>65</v>
      </c>
      <c r="D98" s="252"/>
      <c r="E98" s="117" t="s">
        <v>39</v>
      </c>
      <c r="F98" s="118">
        <v>7.0000000000000007E-2</v>
      </c>
      <c r="G98" s="119">
        <f>F98*G96</f>
        <v>0.8722000000000002</v>
      </c>
      <c r="H98" s="199">
        <f>F98*H97</f>
        <v>6.227508000000001E-2</v>
      </c>
      <c r="I98" s="172">
        <f>F98*I97</f>
        <v>6.227508000000001E-2</v>
      </c>
      <c r="J98" s="120">
        <f>F98*J96</f>
        <v>0.8722000000000002</v>
      </c>
      <c r="K98" s="120">
        <f t="shared" si="10"/>
        <v>1.8689501600000005</v>
      </c>
      <c r="L98" s="294" t="s">
        <v>188</v>
      </c>
      <c r="M98" s="293"/>
      <c r="N98" s="293" t="e">
        <f>K98*L98</f>
        <v>#VALUE!</v>
      </c>
      <c r="O98" s="318"/>
    </row>
    <row r="99" spans="1:15" s="86" customFormat="1" ht="15.75" customHeight="1" x14ac:dyDescent="0.25">
      <c r="A99" s="229" t="s">
        <v>14</v>
      </c>
      <c r="B99" s="142"/>
      <c r="C99" s="143" t="s">
        <v>169</v>
      </c>
      <c r="D99" s="235"/>
      <c r="E99" s="236"/>
      <c r="F99" s="237"/>
      <c r="G99" s="238"/>
      <c r="H99" s="239"/>
      <c r="I99" s="240"/>
      <c r="J99" s="241"/>
      <c r="K99" s="241"/>
      <c r="L99" s="325"/>
      <c r="M99" s="322"/>
      <c r="N99" s="326"/>
      <c r="O99" s="324"/>
    </row>
    <row r="100" spans="1:15" s="86" customFormat="1" ht="15.75" customHeight="1" x14ac:dyDescent="0.25">
      <c r="A100" s="30" t="s">
        <v>136</v>
      </c>
      <c r="B100" s="147"/>
      <c r="C100" s="101" t="s">
        <v>68</v>
      </c>
      <c r="D100" s="251" t="s">
        <v>171</v>
      </c>
      <c r="E100" s="102" t="s">
        <v>37</v>
      </c>
      <c r="F100" s="91"/>
      <c r="G100" s="89"/>
      <c r="H100" s="197">
        <v>50.76</v>
      </c>
      <c r="I100" s="197">
        <v>29.48</v>
      </c>
      <c r="J100" s="90"/>
      <c r="K100" s="90">
        <f t="shared" ref="K100:K106" si="11">SUM(G100:J100)</f>
        <v>80.239999999999995</v>
      </c>
      <c r="L100" s="294" t="s">
        <v>188</v>
      </c>
      <c r="M100" s="293" t="e">
        <f>K100*L100</f>
        <v>#VALUE!</v>
      </c>
      <c r="N100" s="293"/>
      <c r="O100" s="318"/>
    </row>
    <row r="101" spans="1:15" s="86" customFormat="1" ht="15.75" customHeight="1" x14ac:dyDescent="0.25">
      <c r="A101" s="146"/>
      <c r="B101" s="147"/>
      <c r="C101" s="230" t="s">
        <v>69</v>
      </c>
      <c r="D101" s="252"/>
      <c r="E101" s="92" t="s">
        <v>43</v>
      </c>
      <c r="F101" s="88">
        <f>1.02*0.05</f>
        <v>5.1000000000000004E-2</v>
      </c>
      <c r="G101" s="83"/>
      <c r="H101" s="196">
        <f>H100*F101</f>
        <v>2.5887600000000002</v>
      </c>
      <c r="I101" s="196">
        <f>F101*I100</f>
        <v>1.5034800000000001</v>
      </c>
      <c r="J101" s="84"/>
      <c r="K101" s="84">
        <f t="shared" si="11"/>
        <v>4.0922400000000003</v>
      </c>
      <c r="L101" s="294" t="s">
        <v>188</v>
      </c>
      <c r="M101" s="293"/>
      <c r="N101" s="293" t="e">
        <f>K101*L101</f>
        <v>#VALUE!</v>
      </c>
      <c r="O101" s="318"/>
    </row>
    <row r="102" spans="1:15" s="86" customFormat="1" ht="15.75" customHeight="1" x14ac:dyDescent="0.25">
      <c r="A102" s="30" t="s">
        <v>137</v>
      </c>
      <c r="B102" s="147"/>
      <c r="C102" s="87" t="s">
        <v>45</v>
      </c>
      <c r="D102" s="252"/>
      <c r="E102" s="102" t="s">
        <v>37</v>
      </c>
      <c r="F102" s="95"/>
      <c r="G102" s="89"/>
      <c r="H102" s="197">
        <f>H100</f>
        <v>50.76</v>
      </c>
      <c r="I102" s="197">
        <f>I100</f>
        <v>29.48</v>
      </c>
      <c r="J102" s="90"/>
      <c r="K102" s="90">
        <f t="shared" si="11"/>
        <v>80.239999999999995</v>
      </c>
      <c r="L102" s="294" t="s">
        <v>188</v>
      </c>
      <c r="M102" s="293" t="e">
        <f>K102*L102</f>
        <v>#VALUE!</v>
      </c>
      <c r="N102" s="293"/>
      <c r="O102" s="318"/>
    </row>
    <row r="103" spans="1:15" s="86" customFormat="1" ht="15.75" customHeight="1" x14ac:dyDescent="0.25">
      <c r="A103" s="146"/>
      <c r="B103" s="147"/>
      <c r="C103" s="231" t="s">
        <v>70</v>
      </c>
      <c r="D103" s="252"/>
      <c r="E103" s="92" t="s">
        <v>37</v>
      </c>
      <c r="F103" s="93">
        <v>1.1000000000000001</v>
      </c>
      <c r="G103" s="83"/>
      <c r="H103" s="196">
        <f>F103*H102</f>
        <v>55.836000000000006</v>
      </c>
      <c r="I103" s="196">
        <f>F103*I102</f>
        <v>32.428000000000004</v>
      </c>
      <c r="J103" s="84"/>
      <c r="K103" s="84">
        <f t="shared" si="11"/>
        <v>88.26400000000001</v>
      </c>
      <c r="L103" s="294" t="s">
        <v>188</v>
      </c>
      <c r="M103" s="293"/>
      <c r="N103" s="293" t="e">
        <f>K103*L103</f>
        <v>#VALUE!</v>
      </c>
      <c r="O103" s="318"/>
    </row>
    <row r="104" spans="1:15" s="86" customFormat="1" ht="15.75" customHeight="1" x14ac:dyDescent="0.25">
      <c r="A104" s="30" t="s">
        <v>170</v>
      </c>
      <c r="B104" s="147"/>
      <c r="C104" s="87" t="s">
        <v>73</v>
      </c>
      <c r="D104" s="252"/>
      <c r="E104" s="102" t="s">
        <v>37</v>
      </c>
      <c r="F104" s="114"/>
      <c r="G104" s="89"/>
      <c r="H104" s="197">
        <f>H102</f>
        <v>50.76</v>
      </c>
      <c r="I104" s="197">
        <f>I102</f>
        <v>29.48</v>
      </c>
      <c r="J104" s="90"/>
      <c r="K104" s="90">
        <f t="shared" si="11"/>
        <v>80.239999999999995</v>
      </c>
      <c r="L104" s="294" t="s">
        <v>188</v>
      </c>
      <c r="M104" s="293" t="e">
        <f>K104*L104</f>
        <v>#VALUE!</v>
      </c>
      <c r="N104" s="293"/>
      <c r="O104" s="318"/>
    </row>
    <row r="105" spans="1:15" s="86" customFormat="1" ht="15.75" customHeight="1" x14ac:dyDescent="0.25">
      <c r="A105" s="146"/>
      <c r="B105" s="147"/>
      <c r="C105" s="230" t="s">
        <v>57</v>
      </c>
      <c r="D105" s="252"/>
      <c r="E105" s="81" t="s">
        <v>43</v>
      </c>
      <c r="F105" s="82">
        <f>1.02*0.07</f>
        <v>7.1400000000000005E-2</v>
      </c>
      <c r="G105" s="83"/>
      <c r="H105" s="196">
        <f>F105*H104</f>
        <v>3.6242640000000002</v>
      </c>
      <c r="I105" s="196">
        <f t="shared" ref="I105:I106" si="12">F105*I104</f>
        <v>2.1048720000000003</v>
      </c>
      <c r="J105" s="84"/>
      <c r="K105" s="84">
        <f t="shared" si="11"/>
        <v>5.7291360000000005</v>
      </c>
      <c r="L105" s="294" t="s">
        <v>188</v>
      </c>
      <c r="M105" s="293"/>
      <c r="N105" s="293" t="e">
        <f>K105*L105</f>
        <v>#VALUE!</v>
      </c>
      <c r="O105" s="318"/>
    </row>
    <row r="106" spans="1:15" s="86" customFormat="1" ht="15.75" customHeight="1" x14ac:dyDescent="0.25">
      <c r="A106" s="232"/>
      <c r="B106" s="233"/>
      <c r="C106" s="234" t="s">
        <v>65</v>
      </c>
      <c r="D106" s="252"/>
      <c r="E106" s="117" t="s">
        <v>39</v>
      </c>
      <c r="F106" s="118">
        <v>7.0000000000000007E-2</v>
      </c>
      <c r="G106" s="119"/>
      <c r="H106" s="199">
        <f>F106*H104</f>
        <v>3.5532000000000004</v>
      </c>
      <c r="I106" s="199">
        <f t="shared" si="12"/>
        <v>0.14734104000000003</v>
      </c>
      <c r="J106" s="120"/>
      <c r="K106" s="120">
        <f t="shared" si="11"/>
        <v>3.7005410400000005</v>
      </c>
      <c r="L106" s="294" t="s">
        <v>188</v>
      </c>
      <c r="M106" s="293"/>
      <c r="N106" s="293" t="e">
        <f>K106*L106</f>
        <v>#VALUE!</v>
      </c>
      <c r="O106" s="318"/>
    </row>
    <row r="107" spans="1:15" s="86" customFormat="1" ht="15.75" customHeight="1" x14ac:dyDescent="0.25">
      <c r="A107" s="229" t="s">
        <v>130</v>
      </c>
      <c r="B107" s="243"/>
      <c r="C107" s="143" t="s">
        <v>172</v>
      </c>
      <c r="D107" s="235"/>
      <c r="E107" s="236"/>
      <c r="F107" s="237"/>
      <c r="G107" s="238"/>
      <c r="H107" s="239"/>
      <c r="I107" s="240"/>
      <c r="J107" s="241"/>
      <c r="K107" s="241"/>
      <c r="L107" s="325"/>
      <c r="M107" s="326"/>
      <c r="N107" s="322"/>
      <c r="O107" s="324"/>
    </row>
    <row r="108" spans="1:15" s="86" customFormat="1" ht="15.75" customHeight="1" x14ac:dyDescent="0.25">
      <c r="A108" s="30" t="s">
        <v>138</v>
      </c>
      <c r="B108" s="147"/>
      <c r="C108" s="101" t="s">
        <v>173</v>
      </c>
      <c r="D108" s="251" t="s">
        <v>175</v>
      </c>
      <c r="E108" s="102" t="s">
        <v>37</v>
      </c>
      <c r="F108" s="113"/>
      <c r="G108" s="89"/>
      <c r="H108" s="197">
        <f t="shared" ref="H108:I108" si="13">H110*1.5*0.3+H110</f>
        <v>10.063000000000001</v>
      </c>
      <c r="I108" s="170">
        <f t="shared" si="13"/>
        <v>5.0894999999999992</v>
      </c>
      <c r="J108" s="90"/>
      <c r="K108" s="90">
        <f t="shared" ref="K108:K116" si="14">SUM(G108:J108)</f>
        <v>15.1525</v>
      </c>
      <c r="L108" s="294" t="s">
        <v>188</v>
      </c>
      <c r="M108" s="293" t="e">
        <f>K108*L108</f>
        <v>#VALUE!</v>
      </c>
      <c r="N108" s="293"/>
      <c r="O108" s="318"/>
    </row>
    <row r="109" spans="1:15" s="86" customFormat="1" ht="15.75" customHeight="1" x14ac:dyDescent="0.25">
      <c r="A109" s="146"/>
      <c r="B109" s="147"/>
      <c r="C109" s="231" t="s">
        <v>74</v>
      </c>
      <c r="D109" s="252"/>
      <c r="E109" s="92" t="s">
        <v>39</v>
      </c>
      <c r="F109" s="88">
        <v>2</v>
      </c>
      <c r="G109" s="83"/>
      <c r="H109" s="196">
        <f>F109*H108</f>
        <v>20.126000000000001</v>
      </c>
      <c r="I109" s="169">
        <f>I108*F109</f>
        <v>10.178999999999998</v>
      </c>
      <c r="J109" s="84"/>
      <c r="K109" s="84">
        <f t="shared" si="14"/>
        <v>30.305</v>
      </c>
      <c r="L109" s="294" t="s">
        <v>188</v>
      </c>
      <c r="M109" s="293"/>
      <c r="N109" s="293" t="e">
        <f>K109*L109</f>
        <v>#VALUE!</v>
      </c>
      <c r="O109" s="318"/>
    </row>
    <row r="110" spans="1:15" s="86" customFormat="1" ht="15.75" customHeight="1" x14ac:dyDescent="0.25">
      <c r="A110" s="30" t="s">
        <v>139</v>
      </c>
      <c r="B110" s="147"/>
      <c r="C110" s="101" t="s">
        <v>68</v>
      </c>
      <c r="D110" s="252"/>
      <c r="E110" s="102" t="s">
        <v>37</v>
      </c>
      <c r="F110" s="88"/>
      <c r="G110" s="89"/>
      <c r="H110" s="197">
        <v>6.94</v>
      </c>
      <c r="I110" s="170">
        <v>3.51</v>
      </c>
      <c r="J110" s="90"/>
      <c r="K110" s="90">
        <f t="shared" si="14"/>
        <v>10.45</v>
      </c>
      <c r="L110" s="294" t="s">
        <v>188</v>
      </c>
      <c r="M110" s="293" t="e">
        <f>K110*L110</f>
        <v>#VALUE!</v>
      </c>
      <c r="N110" s="293"/>
      <c r="O110" s="318"/>
    </row>
    <row r="111" spans="1:15" s="86" customFormat="1" ht="15.75" customHeight="1" x14ac:dyDescent="0.25">
      <c r="A111" s="146"/>
      <c r="B111" s="147"/>
      <c r="C111" s="230" t="s">
        <v>69</v>
      </c>
      <c r="D111" s="252"/>
      <c r="E111" s="81" t="s">
        <v>43</v>
      </c>
      <c r="F111" s="93">
        <f>1.02*0.08</f>
        <v>8.1600000000000006E-2</v>
      </c>
      <c r="G111" s="83"/>
      <c r="H111" s="196">
        <f>F111*H110</f>
        <v>0.56630400000000003</v>
      </c>
      <c r="I111" s="169">
        <f>I110*F111</f>
        <v>0.286416</v>
      </c>
      <c r="J111" s="84"/>
      <c r="K111" s="84">
        <f t="shared" si="14"/>
        <v>0.85272000000000003</v>
      </c>
      <c r="L111" s="294" t="s">
        <v>188</v>
      </c>
      <c r="M111" s="293"/>
      <c r="N111" s="293" t="e">
        <f>K111*L111</f>
        <v>#VALUE!</v>
      </c>
      <c r="O111" s="318"/>
    </row>
    <row r="112" spans="1:15" s="86" customFormat="1" ht="15.75" customHeight="1" x14ac:dyDescent="0.25">
      <c r="A112" s="30" t="s">
        <v>140</v>
      </c>
      <c r="B112" s="147"/>
      <c r="C112" s="87" t="s">
        <v>45</v>
      </c>
      <c r="D112" s="252"/>
      <c r="E112" s="102" t="s">
        <v>37</v>
      </c>
      <c r="F112" s="95"/>
      <c r="G112" s="89"/>
      <c r="H112" s="197">
        <f>H110</f>
        <v>6.94</v>
      </c>
      <c r="I112" s="170">
        <f>I110</f>
        <v>3.51</v>
      </c>
      <c r="J112" s="90"/>
      <c r="K112" s="90">
        <f t="shared" si="14"/>
        <v>10.45</v>
      </c>
      <c r="L112" s="294" t="s">
        <v>188</v>
      </c>
      <c r="M112" s="293" t="e">
        <f>K112*L112</f>
        <v>#VALUE!</v>
      </c>
      <c r="N112" s="293"/>
      <c r="O112" s="318"/>
    </row>
    <row r="113" spans="1:15" s="86" customFormat="1" ht="15.75" customHeight="1" x14ac:dyDescent="0.25">
      <c r="A113" s="146"/>
      <c r="B113" s="147"/>
      <c r="C113" s="231" t="s">
        <v>70</v>
      </c>
      <c r="D113" s="252"/>
      <c r="E113" s="92" t="s">
        <v>37</v>
      </c>
      <c r="F113" s="93">
        <f>1.1</f>
        <v>1.1000000000000001</v>
      </c>
      <c r="G113" s="83"/>
      <c r="H113" s="196">
        <f>F113*H112</f>
        <v>7.6340000000000012</v>
      </c>
      <c r="I113" s="169">
        <f>I112*F113</f>
        <v>3.8610000000000002</v>
      </c>
      <c r="J113" s="84"/>
      <c r="K113" s="84">
        <f t="shared" si="14"/>
        <v>11.495000000000001</v>
      </c>
      <c r="L113" s="294" t="s">
        <v>188</v>
      </c>
      <c r="M113" s="293"/>
      <c r="N113" s="293" t="e">
        <f>K113*L113</f>
        <v>#VALUE!</v>
      </c>
      <c r="O113" s="318"/>
    </row>
    <row r="114" spans="1:15" s="86" customFormat="1" ht="15.75" customHeight="1" x14ac:dyDescent="0.25">
      <c r="A114" s="30" t="s">
        <v>174</v>
      </c>
      <c r="B114" s="147"/>
      <c r="C114" s="87" t="s">
        <v>73</v>
      </c>
      <c r="D114" s="252"/>
      <c r="E114" s="102" t="s">
        <v>37</v>
      </c>
      <c r="F114" s="114"/>
      <c r="G114" s="89"/>
      <c r="H114" s="197">
        <f>H112</f>
        <v>6.94</v>
      </c>
      <c r="I114" s="170">
        <f>I112</f>
        <v>3.51</v>
      </c>
      <c r="J114" s="90"/>
      <c r="K114" s="90">
        <f t="shared" si="14"/>
        <v>10.45</v>
      </c>
      <c r="L114" s="294" t="s">
        <v>188</v>
      </c>
      <c r="M114" s="293" t="e">
        <f>K114*L114</f>
        <v>#VALUE!</v>
      </c>
      <c r="N114" s="293"/>
      <c r="O114" s="318"/>
    </row>
    <row r="115" spans="1:15" s="86" customFormat="1" ht="15.75" customHeight="1" x14ac:dyDescent="0.25">
      <c r="A115" s="146"/>
      <c r="B115" s="147"/>
      <c r="C115" s="230" t="s">
        <v>57</v>
      </c>
      <c r="D115" s="252"/>
      <c r="E115" s="81" t="s">
        <v>43</v>
      </c>
      <c r="F115" s="82">
        <f>1.02*0.07</f>
        <v>7.1400000000000005E-2</v>
      </c>
      <c r="G115" s="83"/>
      <c r="H115" s="196">
        <f>F115*H114</f>
        <v>0.49551600000000007</v>
      </c>
      <c r="I115" s="169">
        <f t="shared" ref="I115:I116" si="15">I114*F115</f>
        <v>0.250614</v>
      </c>
      <c r="J115" s="84"/>
      <c r="K115" s="84">
        <f t="shared" si="14"/>
        <v>0.74613000000000007</v>
      </c>
      <c r="L115" s="294" t="s">
        <v>188</v>
      </c>
      <c r="M115" s="293"/>
      <c r="N115" s="293" t="e">
        <f>K115*L115</f>
        <v>#VALUE!</v>
      </c>
      <c r="O115" s="318"/>
    </row>
    <row r="116" spans="1:15" s="86" customFormat="1" ht="15.75" customHeight="1" x14ac:dyDescent="0.25">
      <c r="A116" s="146"/>
      <c r="B116" s="147"/>
      <c r="C116" s="230" t="s">
        <v>65</v>
      </c>
      <c r="D116" s="258"/>
      <c r="E116" s="81" t="s">
        <v>39</v>
      </c>
      <c r="F116" s="85">
        <v>7.0000000000000007E-2</v>
      </c>
      <c r="G116" s="83"/>
      <c r="H116" s="196">
        <f>F116*H114</f>
        <v>0.48580000000000007</v>
      </c>
      <c r="I116" s="169">
        <f t="shared" si="15"/>
        <v>1.7542980000000003E-2</v>
      </c>
      <c r="J116" s="84"/>
      <c r="K116" s="84">
        <f t="shared" si="14"/>
        <v>0.50334298000000011</v>
      </c>
      <c r="L116" s="294" t="s">
        <v>188</v>
      </c>
      <c r="M116" s="293"/>
      <c r="N116" s="293" t="e">
        <f>K116*L116</f>
        <v>#VALUE!</v>
      </c>
      <c r="O116" s="318"/>
    </row>
    <row r="117" spans="1:15" s="86" customFormat="1" ht="18" customHeight="1" x14ac:dyDescent="0.25">
      <c r="A117" s="121"/>
      <c r="B117" s="122"/>
      <c r="C117" s="123" t="s">
        <v>12</v>
      </c>
      <c r="D117" s="122"/>
      <c r="E117" s="122"/>
      <c r="F117" s="124"/>
      <c r="G117" s="192"/>
      <c r="H117" s="122"/>
      <c r="I117" s="173"/>
      <c r="J117" s="122"/>
      <c r="K117" s="314"/>
      <c r="L117" s="296"/>
      <c r="M117" s="297"/>
      <c r="N117" s="293"/>
      <c r="O117" s="318"/>
    </row>
    <row r="118" spans="1:15" s="111" customFormat="1" ht="18" customHeight="1" x14ac:dyDescent="0.25">
      <c r="A118" s="63" t="s">
        <v>10</v>
      </c>
      <c r="B118" s="64"/>
      <c r="C118" s="65" t="s">
        <v>67</v>
      </c>
      <c r="D118" s="125"/>
      <c r="E118" s="67"/>
      <c r="F118" s="126"/>
      <c r="G118" s="127"/>
      <c r="H118" s="200"/>
      <c r="I118" s="174"/>
      <c r="J118" s="128"/>
      <c r="K118" s="128"/>
      <c r="L118" s="325"/>
      <c r="M118" s="322"/>
      <c r="N118" s="326"/>
      <c r="O118" s="327"/>
    </row>
    <row r="119" spans="1:15" s="86" customFormat="1" ht="15.75" customHeight="1" x14ac:dyDescent="0.25">
      <c r="A119" s="30" t="s">
        <v>141</v>
      </c>
      <c r="B119" s="80"/>
      <c r="C119" s="101" t="s">
        <v>89</v>
      </c>
      <c r="D119" s="251">
        <v>3</v>
      </c>
      <c r="E119" s="94" t="s">
        <v>37</v>
      </c>
      <c r="F119" s="95"/>
      <c r="G119" s="89">
        <v>7971.0500000000011</v>
      </c>
      <c r="H119" s="197">
        <v>6881.08</v>
      </c>
      <c r="I119" s="170">
        <v>7689.4400000000005</v>
      </c>
      <c r="J119" s="90">
        <v>6873.84</v>
      </c>
      <c r="K119" s="90">
        <f t="shared" ref="K119:K123" si="16">SUM(G119:J119)</f>
        <v>29415.41</v>
      </c>
      <c r="L119" s="294" t="s">
        <v>188</v>
      </c>
      <c r="M119" s="293" t="e">
        <f>K119*L119</f>
        <v>#VALUE!</v>
      </c>
      <c r="N119" s="293"/>
      <c r="O119" s="318"/>
    </row>
    <row r="120" spans="1:15" s="86" customFormat="1" ht="15.75" customHeight="1" x14ac:dyDescent="0.25">
      <c r="A120" s="79"/>
      <c r="B120" s="221"/>
      <c r="C120" s="222" t="s">
        <v>90</v>
      </c>
      <c r="D120" s="252"/>
      <c r="E120" s="92" t="s">
        <v>37</v>
      </c>
      <c r="F120" s="93">
        <v>1.1000000000000001</v>
      </c>
      <c r="G120" s="83">
        <f>F120*G119</f>
        <v>8768.1550000000025</v>
      </c>
      <c r="H120" s="196">
        <f>F120*H119</f>
        <v>7569.1880000000001</v>
      </c>
      <c r="I120" s="169">
        <f>F120*I119</f>
        <v>8458.3840000000018</v>
      </c>
      <c r="J120" s="84">
        <f>F120*J119</f>
        <v>7561.2240000000011</v>
      </c>
      <c r="K120" s="84">
        <f t="shared" si="16"/>
        <v>32356.951000000008</v>
      </c>
      <c r="L120" s="294" t="s">
        <v>188</v>
      </c>
      <c r="M120" s="293"/>
      <c r="N120" s="293" t="e">
        <f>K120*L120</f>
        <v>#VALUE!</v>
      </c>
      <c r="O120" s="318"/>
    </row>
    <row r="121" spans="1:15" s="86" customFormat="1" ht="31.5" customHeight="1" x14ac:dyDescent="0.25">
      <c r="A121" s="30" t="s">
        <v>176</v>
      </c>
      <c r="B121" s="80"/>
      <c r="C121" s="87" t="s">
        <v>91</v>
      </c>
      <c r="D121" s="252"/>
      <c r="E121" s="94" t="s">
        <v>37</v>
      </c>
      <c r="F121" s="130"/>
      <c r="G121" s="89">
        <f>G119</f>
        <v>7971.0500000000011</v>
      </c>
      <c r="H121" s="197">
        <f>H119</f>
        <v>6881.08</v>
      </c>
      <c r="I121" s="170">
        <f>I119</f>
        <v>7689.4400000000005</v>
      </c>
      <c r="J121" s="90">
        <f>J119</f>
        <v>6873.84</v>
      </c>
      <c r="K121" s="90">
        <f t="shared" si="16"/>
        <v>29415.41</v>
      </c>
      <c r="L121" s="294" t="s">
        <v>188</v>
      </c>
      <c r="M121" s="293" t="e">
        <f>K121*L121</f>
        <v>#VALUE!</v>
      </c>
      <c r="N121" s="293"/>
      <c r="O121" s="318"/>
    </row>
    <row r="122" spans="1:15" s="86" customFormat="1" ht="15.75" customHeight="1" x14ac:dyDescent="0.25">
      <c r="A122" s="79"/>
      <c r="B122" s="221"/>
      <c r="C122" s="222" t="s">
        <v>57</v>
      </c>
      <c r="D122" s="252"/>
      <c r="E122" s="92" t="s">
        <v>43</v>
      </c>
      <c r="F122" s="88">
        <f>1.02*0.06</f>
        <v>6.1199999999999997E-2</v>
      </c>
      <c r="G122" s="83">
        <f>F122*G121</f>
        <v>487.82826000000006</v>
      </c>
      <c r="H122" s="196">
        <f>F122*H121</f>
        <v>421.122096</v>
      </c>
      <c r="I122" s="169">
        <f>F122*I121</f>
        <v>470.593728</v>
      </c>
      <c r="J122" s="84">
        <f>F122*J121</f>
        <v>420.67900800000001</v>
      </c>
      <c r="K122" s="84">
        <f t="shared" si="16"/>
        <v>1800.2230920000002</v>
      </c>
      <c r="L122" s="294" t="s">
        <v>188</v>
      </c>
      <c r="M122" s="293"/>
      <c r="N122" s="293" t="e">
        <f>K122*L122</f>
        <v>#VALUE!</v>
      </c>
      <c r="O122" s="318"/>
    </row>
    <row r="123" spans="1:15" s="86" customFormat="1" ht="15.75" customHeight="1" x14ac:dyDescent="0.25">
      <c r="A123" s="79"/>
      <c r="B123" s="221"/>
      <c r="C123" s="222" t="s">
        <v>65</v>
      </c>
      <c r="D123" s="258"/>
      <c r="E123" s="81" t="s">
        <v>39</v>
      </c>
      <c r="F123" s="85">
        <v>0.06</v>
      </c>
      <c r="G123" s="83">
        <f>F123*G121</f>
        <v>478.26300000000003</v>
      </c>
      <c r="H123" s="196">
        <f>F123*H122</f>
        <v>25.267325759999999</v>
      </c>
      <c r="I123" s="169">
        <f>F123*I122</f>
        <v>28.23562368</v>
      </c>
      <c r="J123" s="84">
        <f>F123*J122</f>
        <v>25.240740479999999</v>
      </c>
      <c r="K123" s="84">
        <f t="shared" si="16"/>
        <v>557.00668991999999</v>
      </c>
      <c r="L123" s="294" t="s">
        <v>188</v>
      </c>
      <c r="M123" s="293"/>
      <c r="N123" s="293" t="e">
        <f>K123*L123</f>
        <v>#VALUE!</v>
      </c>
      <c r="O123" s="318"/>
    </row>
    <row r="124" spans="1:15" s="111" customFormat="1" ht="18" customHeight="1" x14ac:dyDescent="0.25">
      <c r="A124" s="63" t="s">
        <v>131</v>
      </c>
      <c r="B124" s="64"/>
      <c r="C124" s="65" t="s">
        <v>72</v>
      </c>
      <c r="D124" s="115"/>
      <c r="E124" s="67"/>
      <c r="F124" s="126"/>
      <c r="G124" s="127"/>
      <c r="H124" s="200"/>
      <c r="I124" s="174"/>
      <c r="J124" s="128"/>
      <c r="K124" s="128"/>
      <c r="L124" s="325"/>
      <c r="M124" s="326"/>
      <c r="N124" s="322"/>
      <c r="O124" s="327"/>
    </row>
    <row r="125" spans="1:15" s="111" customFormat="1" ht="15.75" customHeight="1" x14ac:dyDescent="0.25">
      <c r="A125" s="30" t="s">
        <v>142</v>
      </c>
      <c r="B125" s="112"/>
      <c r="C125" s="101" t="s">
        <v>89</v>
      </c>
      <c r="D125" s="251">
        <v>4</v>
      </c>
      <c r="E125" s="94" t="s">
        <v>37</v>
      </c>
      <c r="F125" s="95"/>
      <c r="G125" s="89">
        <v>992.86999999999989</v>
      </c>
      <c r="H125" s="197">
        <v>878.51</v>
      </c>
      <c r="I125" s="170">
        <v>896.90000000000009</v>
      </c>
      <c r="J125" s="90">
        <v>839.95999999999992</v>
      </c>
      <c r="K125" s="90">
        <f t="shared" ref="K125:K131" si="17">SUM(G125:J125)</f>
        <v>3608.24</v>
      </c>
      <c r="L125" s="294" t="s">
        <v>188</v>
      </c>
      <c r="M125" s="293" t="e">
        <f>K125*L125</f>
        <v>#VALUE!</v>
      </c>
      <c r="N125" s="293"/>
      <c r="O125" s="319"/>
    </row>
    <row r="126" spans="1:15" s="86" customFormat="1" ht="15.75" customHeight="1" x14ac:dyDescent="0.25">
      <c r="A126" s="79"/>
      <c r="B126" s="221"/>
      <c r="C126" s="222" t="s">
        <v>90</v>
      </c>
      <c r="D126" s="252"/>
      <c r="E126" s="92" t="s">
        <v>37</v>
      </c>
      <c r="F126" s="93">
        <v>1.1000000000000001</v>
      </c>
      <c r="G126" s="83">
        <f>F126*G125</f>
        <v>1092.1569999999999</v>
      </c>
      <c r="H126" s="196">
        <f>F126*H125</f>
        <v>966.3610000000001</v>
      </c>
      <c r="I126" s="169">
        <f>F126*I125</f>
        <v>986.59000000000015</v>
      </c>
      <c r="J126" s="84">
        <f>F126*J125</f>
        <v>923.95600000000002</v>
      </c>
      <c r="K126" s="84">
        <f t="shared" si="17"/>
        <v>3969.0640000000003</v>
      </c>
      <c r="L126" s="294" t="s">
        <v>188</v>
      </c>
      <c r="M126" s="293"/>
      <c r="N126" s="293" t="e">
        <f>K126*L126</f>
        <v>#VALUE!</v>
      </c>
      <c r="O126" s="318"/>
    </row>
    <row r="127" spans="1:15" s="86" customFormat="1" ht="31.5" customHeight="1" x14ac:dyDescent="0.25">
      <c r="A127" s="30" t="s">
        <v>177</v>
      </c>
      <c r="B127" s="80"/>
      <c r="C127" s="87" t="s">
        <v>91</v>
      </c>
      <c r="D127" s="252"/>
      <c r="E127" s="94" t="s">
        <v>37</v>
      </c>
      <c r="F127" s="130"/>
      <c r="G127" s="89">
        <f>G125</f>
        <v>992.86999999999989</v>
      </c>
      <c r="H127" s="197">
        <f>H125</f>
        <v>878.51</v>
      </c>
      <c r="I127" s="170">
        <f>I125</f>
        <v>896.90000000000009</v>
      </c>
      <c r="J127" s="90">
        <f>J125</f>
        <v>839.95999999999992</v>
      </c>
      <c r="K127" s="90">
        <f t="shared" si="17"/>
        <v>3608.24</v>
      </c>
      <c r="L127" s="294" t="s">
        <v>188</v>
      </c>
      <c r="M127" s="293" t="e">
        <f>K127*L127</f>
        <v>#VALUE!</v>
      </c>
      <c r="N127" s="293"/>
      <c r="O127" s="318"/>
    </row>
    <row r="128" spans="1:15" s="86" customFormat="1" ht="15.75" customHeight="1" x14ac:dyDescent="0.25">
      <c r="A128" s="79"/>
      <c r="B128" s="221"/>
      <c r="C128" s="222" t="s">
        <v>57</v>
      </c>
      <c r="D128" s="252"/>
      <c r="E128" s="92" t="s">
        <v>43</v>
      </c>
      <c r="F128" s="88">
        <f>1.02*0.06</f>
        <v>6.1199999999999997E-2</v>
      </c>
      <c r="G128" s="83">
        <f>F128*G127</f>
        <v>60.763643999999992</v>
      </c>
      <c r="H128" s="196">
        <f>F128*H127</f>
        <v>53.764811999999999</v>
      </c>
      <c r="I128" s="169">
        <f>F128*I127</f>
        <v>54.890280000000004</v>
      </c>
      <c r="J128" s="84">
        <f>F128*J127</f>
        <v>51.405551999999993</v>
      </c>
      <c r="K128" s="84">
        <f t="shared" si="17"/>
        <v>220.824288</v>
      </c>
      <c r="L128" s="294" t="s">
        <v>188</v>
      </c>
      <c r="M128" s="293"/>
      <c r="N128" s="293" t="e">
        <f>K128*L128</f>
        <v>#VALUE!</v>
      </c>
      <c r="O128" s="318"/>
    </row>
    <row r="129" spans="1:15" s="86" customFormat="1" ht="15.75" customHeight="1" x14ac:dyDescent="0.25">
      <c r="A129" s="79"/>
      <c r="B129" s="221"/>
      <c r="C129" s="222" t="s">
        <v>65</v>
      </c>
      <c r="D129" s="252"/>
      <c r="E129" s="81" t="s">
        <v>39</v>
      </c>
      <c r="F129" s="85">
        <v>0.06</v>
      </c>
      <c r="G129" s="83">
        <f>F129*G127</f>
        <v>59.572199999999988</v>
      </c>
      <c r="H129" s="196">
        <f>H127*F129</f>
        <v>52.710599999999999</v>
      </c>
      <c r="I129" s="169">
        <f>I127*F129</f>
        <v>53.814</v>
      </c>
      <c r="J129" s="84">
        <f>J127*F129</f>
        <v>50.39759999999999</v>
      </c>
      <c r="K129" s="84">
        <f t="shared" si="17"/>
        <v>216.49439999999996</v>
      </c>
      <c r="L129" s="294" t="s">
        <v>188</v>
      </c>
      <c r="M129" s="293"/>
      <c r="N129" s="293" t="e">
        <f>K129*L129</f>
        <v>#VALUE!</v>
      </c>
      <c r="O129" s="318"/>
    </row>
    <row r="130" spans="1:15" s="86" customFormat="1" ht="31.5" customHeight="1" x14ac:dyDescent="0.25">
      <c r="A130" s="30" t="s">
        <v>178</v>
      </c>
      <c r="B130" s="80"/>
      <c r="C130" s="101" t="s">
        <v>168</v>
      </c>
      <c r="D130" s="252"/>
      <c r="E130" s="94" t="s">
        <v>37</v>
      </c>
      <c r="F130" s="131"/>
      <c r="G130" s="89">
        <f>G127*1.9*0.3+G127</f>
        <v>1558.8058999999998</v>
      </c>
      <c r="H130" s="197">
        <f t="shared" ref="H130:J130" si="18">H127*1.9*0.3+H127</f>
        <v>1379.2606999999998</v>
      </c>
      <c r="I130" s="170">
        <f t="shared" si="18"/>
        <v>1408.133</v>
      </c>
      <c r="J130" s="90">
        <f t="shared" si="18"/>
        <v>1318.7371999999998</v>
      </c>
      <c r="K130" s="90">
        <f t="shared" si="17"/>
        <v>5664.9367999999995</v>
      </c>
      <c r="L130" s="294" t="s">
        <v>188</v>
      </c>
      <c r="M130" s="293" t="e">
        <f>K130*L130</f>
        <v>#VALUE!</v>
      </c>
      <c r="N130" s="293"/>
      <c r="O130" s="318"/>
    </row>
    <row r="131" spans="1:15" s="86" customFormat="1" ht="15.75" customHeight="1" x14ac:dyDescent="0.25">
      <c r="A131" s="79"/>
      <c r="B131" s="221"/>
      <c r="C131" s="222" t="s">
        <v>74</v>
      </c>
      <c r="D131" s="258"/>
      <c r="E131" s="81" t="s">
        <v>39</v>
      </c>
      <c r="F131" s="85">
        <v>2</v>
      </c>
      <c r="G131" s="83">
        <f>F131*G130</f>
        <v>3117.6117999999997</v>
      </c>
      <c r="H131" s="196">
        <f>F131*H130</f>
        <v>2758.5213999999996</v>
      </c>
      <c r="I131" s="169">
        <f>F131*I130</f>
        <v>2816.2660000000001</v>
      </c>
      <c r="J131" s="84">
        <f>F131*J130</f>
        <v>2637.4743999999996</v>
      </c>
      <c r="K131" s="84">
        <f t="shared" si="17"/>
        <v>11329.873599999999</v>
      </c>
      <c r="L131" s="294" t="s">
        <v>188</v>
      </c>
      <c r="M131" s="293"/>
      <c r="N131" s="293" t="e">
        <f>K131*L131</f>
        <v>#VALUE!</v>
      </c>
      <c r="O131" s="318"/>
    </row>
    <row r="132" spans="1:15" s="111" customFormat="1" ht="18" customHeight="1" x14ac:dyDescent="0.25">
      <c r="A132" s="63" t="s">
        <v>132</v>
      </c>
      <c r="B132" s="64"/>
      <c r="C132" s="65" t="s">
        <v>92</v>
      </c>
      <c r="D132" s="132"/>
      <c r="E132" s="67"/>
      <c r="F132" s="126"/>
      <c r="G132" s="133"/>
      <c r="H132" s="201"/>
      <c r="I132" s="175"/>
      <c r="J132" s="134"/>
      <c r="K132" s="134"/>
      <c r="L132" s="325"/>
      <c r="M132" s="326"/>
      <c r="N132" s="322"/>
      <c r="O132" s="327"/>
    </row>
    <row r="133" spans="1:15" s="86" customFormat="1" ht="31.5" customHeight="1" x14ac:dyDescent="0.25">
      <c r="A133" s="30" t="s">
        <v>133</v>
      </c>
      <c r="B133" s="80"/>
      <c r="C133" s="87" t="s">
        <v>73</v>
      </c>
      <c r="D133" s="251">
        <v>7</v>
      </c>
      <c r="E133" s="94" t="s">
        <v>37</v>
      </c>
      <c r="F133" s="95"/>
      <c r="G133" s="89">
        <v>1559.01</v>
      </c>
      <c r="H133" s="197">
        <v>1665.3199999999997</v>
      </c>
      <c r="I133" s="170">
        <v>1763.98</v>
      </c>
      <c r="J133" s="90">
        <v>1496.8000000000002</v>
      </c>
      <c r="K133" s="90">
        <f t="shared" ref="K133:K144" si="19">SUM(G133:J133)</f>
        <v>6485.11</v>
      </c>
      <c r="L133" s="294" t="s">
        <v>188</v>
      </c>
      <c r="M133" s="293" t="e">
        <f>K133*L133</f>
        <v>#VALUE!</v>
      </c>
      <c r="N133" s="293"/>
      <c r="O133" s="318"/>
    </row>
    <row r="134" spans="1:15" s="86" customFormat="1" ht="15.75" customHeight="1" x14ac:dyDescent="0.25">
      <c r="A134" s="79"/>
      <c r="B134" s="221"/>
      <c r="C134" s="222" t="s">
        <v>57</v>
      </c>
      <c r="D134" s="252"/>
      <c r="E134" s="92" t="s">
        <v>43</v>
      </c>
      <c r="F134" s="88">
        <f>1.02*0.07</f>
        <v>7.1400000000000005E-2</v>
      </c>
      <c r="G134" s="83">
        <f>F134*G133</f>
        <v>111.31331400000001</v>
      </c>
      <c r="H134" s="196">
        <f>F134*H133</f>
        <v>118.90384799999998</v>
      </c>
      <c r="I134" s="169">
        <f>F134*I133</f>
        <v>125.94817200000001</v>
      </c>
      <c r="J134" s="84">
        <f>F134*J133</f>
        <v>106.87152000000002</v>
      </c>
      <c r="K134" s="84">
        <f>SUM(G134:J134)</f>
        <v>463.03685400000001</v>
      </c>
      <c r="L134" s="294" t="s">
        <v>188</v>
      </c>
      <c r="M134" s="293"/>
      <c r="N134" s="293" t="e">
        <f>K134*L134</f>
        <v>#VALUE!</v>
      </c>
      <c r="O134" s="318"/>
    </row>
    <row r="135" spans="1:15" s="86" customFormat="1" ht="15.75" customHeight="1" x14ac:dyDescent="0.25">
      <c r="A135" s="79"/>
      <c r="B135" s="221"/>
      <c r="C135" s="222" t="s">
        <v>65</v>
      </c>
      <c r="D135" s="258"/>
      <c r="E135" s="81" t="s">
        <v>39</v>
      </c>
      <c r="F135" s="136">
        <f>0.07</f>
        <v>7.0000000000000007E-2</v>
      </c>
      <c r="G135" s="119">
        <f>F135*G133</f>
        <v>109.1307</v>
      </c>
      <c r="H135" s="196">
        <f>H133*F135</f>
        <v>116.57239999999999</v>
      </c>
      <c r="I135" s="172">
        <f>I133*F135</f>
        <v>123.47860000000001</v>
      </c>
      <c r="J135" s="120">
        <f>J133*F135</f>
        <v>104.77600000000002</v>
      </c>
      <c r="K135" s="120">
        <f t="shared" si="19"/>
        <v>453.95770000000005</v>
      </c>
      <c r="L135" s="294" t="s">
        <v>188</v>
      </c>
      <c r="M135" s="293"/>
      <c r="N135" s="293" t="e">
        <f>K135*L135</f>
        <v>#VALUE!</v>
      </c>
      <c r="O135" s="318"/>
    </row>
    <row r="136" spans="1:15" s="111" customFormat="1" ht="18" customHeight="1" x14ac:dyDescent="0.25">
      <c r="A136" s="63" t="s">
        <v>134</v>
      </c>
      <c r="B136" s="64"/>
      <c r="C136" s="65" t="s">
        <v>93</v>
      </c>
      <c r="D136" s="132"/>
      <c r="E136" s="67"/>
      <c r="F136" s="126"/>
      <c r="G136" s="193"/>
      <c r="H136" s="137"/>
      <c r="I136" s="176"/>
      <c r="J136" s="137"/>
      <c r="K136" s="315"/>
      <c r="L136" s="328"/>
      <c r="M136" s="329"/>
      <c r="N136" s="329"/>
      <c r="O136" s="327"/>
    </row>
    <row r="137" spans="1:15" s="86" customFormat="1" ht="31.5" customHeight="1" x14ac:dyDescent="0.25">
      <c r="A137" s="30" t="s">
        <v>143</v>
      </c>
      <c r="B137" s="80"/>
      <c r="C137" s="87" t="s">
        <v>94</v>
      </c>
      <c r="D137" s="251">
        <v>8</v>
      </c>
      <c r="E137" s="94" t="s">
        <v>37</v>
      </c>
      <c r="F137" s="95"/>
      <c r="G137" s="89">
        <v>239.58999999999997</v>
      </c>
      <c r="H137" s="197">
        <v>214.37</v>
      </c>
      <c r="I137" s="170">
        <v>226.98</v>
      </c>
      <c r="J137" s="90">
        <v>201.76</v>
      </c>
      <c r="K137" s="90">
        <f t="shared" si="19"/>
        <v>882.69999999999993</v>
      </c>
      <c r="L137" s="294" t="s">
        <v>188</v>
      </c>
      <c r="M137" s="293" t="e">
        <f>K137*L137</f>
        <v>#VALUE!</v>
      </c>
      <c r="N137" s="293"/>
      <c r="O137" s="318"/>
    </row>
    <row r="138" spans="1:15" s="86" customFormat="1" ht="15.75" customHeight="1" x14ac:dyDescent="0.25">
      <c r="A138" s="79"/>
      <c r="B138" s="221"/>
      <c r="C138" s="222" t="s">
        <v>57</v>
      </c>
      <c r="D138" s="252"/>
      <c r="E138" s="92" t="s">
        <v>43</v>
      </c>
      <c r="F138" s="88">
        <f>1.02*0.05</f>
        <v>5.1000000000000004E-2</v>
      </c>
      <c r="G138" s="83">
        <f>F138*G137</f>
        <v>12.21909</v>
      </c>
      <c r="H138" s="196">
        <f>F138*H137</f>
        <v>10.932870000000001</v>
      </c>
      <c r="I138" s="169">
        <f>F138*I137</f>
        <v>11.575979999999999</v>
      </c>
      <c r="J138" s="84">
        <f>F138*J137</f>
        <v>10.289760000000001</v>
      </c>
      <c r="K138" s="316">
        <f t="shared" si="19"/>
        <v>45.017700000000005</v>
      </c>
      <c r="L138" s="294" t="s">
        <v>188</v>
      </c>
      <c r="M138" s="293"/>
      <c r="N138" s="293" t="e">
        <f>K138*L138</f>
        <v>#VALUE!</v>
      </c>
      <c r="O138" s="318"/>
    </row>
    <row r="139" spans="1:15" s="86" customFormat="1" ht="15.75" customHeight="1" x14ac:dyDescent="0.25">
      <c r="A139" s="116"/>
      <c r="B139" s="223"/>
      <c r="C139" s="224" t="s">
        <v>65</v>
      </c>
      <c r="D139" s="252"/>
      <c r="E139" s="139" t="s">
        <v>39</v>
      </c>
      <c r="F139" s="140">
        <v>0.05</v>
      </c>
      <c r="G139" s="119">
        <f>F139*G137</f>
        <v>11.9795</v>
      </c>
      <c r="H139" s="199">
        <f>H137*F139</f>
        <v>10.718500000000001</v>
      </c>
      <c r="I139" s="172">
        <f>I137*F139</f>
        <v>11.349</v>
      </c>
      <c r="J139" s="120">
        <f>J137*F139</f>
        <v>10.088000000000001</v>
      </c>
      <c r="K139" s="120">
        <f t="shared" si="19"/>
        <v>44.134999999999998</v>
      </c>
      <c r="L139" s="294" t="s">
        <v>188</v>
      </c>
      <c r="M139" s="293"/>
      <c r="N139" s="293" t="e">
        <f>K139*L139</f>
        <v>#VALUE!</v>
      </c>
      <c r="O139" s="318"/>
    </row>
    <row r="140" spans="1:15" s="86" customFormat="1" ht="18" customHeight="1" x14ac:dyDescent="0.25">
      <c r="A140" s="141" t="s">
        <v>135</v>
      </c>
      <c r="B140" s="142"/>
      <c r="C140" s="143" t="s">
        <v>95</v>
      </c>
      <c r="D140" s="132"/>
      <c r="E140" s="144"/>
      <c r="F140" s="145"/>
      <c r="G140" s="193"/>
      <c r="H140" s="137"/>
      <c r="I140" s="176"/>
      <c r="J140" s="137"/>
      <c r="K140" s="315"/>
      <c r="L140" s="328"/>
      <c r="M140" s="329"/>
      <c r="N140" s="329"/>
      <c r="O140" s="324"/>
    </row>
    <row r="141" spans="1:15" s="86" customFormat="1" ht="47.25" customHeight="1" x14ac:dyDescent="0.25">
      <c r="A141" s="30" t="s">
        <v>144</v>
      </c>
      <c r="B141" s="147"/>
      <c r="C141" s="87" t="s">
        <v>96</v>
      </c>
      <c r="D141" s="251"/>
      <c r="E141" s="94" t="s">
        <v>37</v>
      </c>
      <c r="F141" s="136"/>
      <c r="G141" s="194">
        <f>6.3*19</f>
        <v>119.7</v>
      </c>
      <c r="H141" s="148">
        <f>7.1*17</f>
        <v>120.69999999999999</v>
      </c>
      <c r="I141" s="177">
        <f>7.1*18</f>
        <v>127.8</v>
      </c>
      <c r="J141" s="148">
        <f>6.3*16</f>
        <v>100.8</v>
      </c>
      <c r="K141" s="203">
        <f t="shared" si="19"/>
        <v>469</v>
      </c>
      <c r="L141" s="294" t="s">
        <v>188</v>
      </c>
      <c r="M141" s="293" t="e">
        <f>K141*L141</f>
        <v>#VALUE!</v>
      </c>
      <c r="N141" s="293"/>
      <c r="O141" s="318"/>
    </row>
    <row r="142" spans="1:15" s="86" customFormat="1" ht="15.75" customHeight="1" x14ac:dyDescent="0.25">
      <c r="A142" s="146"/>
      <c r="B142" s="225"/>
      <c r="C142" s="222" t="s">
        <v>57</v>
      </c>
      <c r="D142" s="252"/>
      <c r="E142" s="92" t="s">
        <v>43</v>
      </c>
      <c r="F142" s="88">
        <f>1.02*0.03</f>
        <v>3.0599999999999999E-2</v>
      </c>
      <c r="G142" s="96">
        <f>F142*G141</f>
        <v>3.66282</v>
      </c>
      <c r="H142" s="150">
        <f>F142*H141</f>
        <v>3.6934199999999997</v>
      </c>
      <c r="I142" s="178">
        <f>F142*I141</f>
        <v>3.9106799999999997</v>
      </c>
      <c r="J142" s="150">
        <f>F142*J141</f>
        <v>3.0844799999999997</v>
      </c>
      <c r="K142" s="313">
        <f t="shared" si="19"/>
        <v>14.351399999999998</v>
      </c>
      <c r="L142" s="294" t="s">
        <v>188</v>
      </c>
      <c r="M142" s="293"/>
      <c r="N142" s="293" t="e">
        <f>K142*L142</f>
        <v>#VALUE!</v>
      </c>
      <c r="O142" s="318"/>
    </row>
    <row r="143" spans="1:15" s="86" customFormat="1" ht="15.75" customHeight="1" x14ac:dyDescent="0.25">
      <c r="A143" s="146"/>
      <c r="B143" s="225"/>
      <c r="C143" s="217" t="s">
        <v>65</v>
      </c>
      <c r="D143" s="252"/>
      <c r="E143" s="139" t="s">
        <v>39</v>
      </c>
      <c r="F143" s="136">
        <v>0.03</v>
      </c>
      <c r="G143" s="96">
        <f>F143*G141</f>
        <v>3.5909999999999997</v>
      </c>
      <c r="H143" s="150">
        <f>H141*F143</f>
        <v>3.6209999999999996</v>
      </c>
      <c r="I143" s="178">
        <f>I141*F143</f>
        <v>3.8339999999999996</v>
      </c>
      <c r="J143" s="150">
        <f>J141*F143</f>
        <v>3.024</v>
      </c>
      <c r="K143" s="313">
        <f t="shared" si="19"/>
        <v>14.07</v>
      </c>
      <c r="L143" s="294" t="s">
        <v>188</v>
      </c>
      <c r="M143" s="293"/>
      <c r="N143" s="293" t="e">
        <f>K143*L143</f>
        <v>#VALUE!</v>
      </c>
      <c r="O143" s="318"/>
    </row>
    <row r="144" spans="1:15" s="72" customFormat="1" ht="15.75" customHeight="1" thickBot="1" x14ac:dyDescent="0.3">
      <c r="A144" s="244"/>
      <c r="B144" s="226"/>
      <c r="C144" s="227" t="s">
        <v>97</v>
      </c>
      <c r="D144" s="255"/>
      <c r="E144" s="151" t="s">
        <v>53</v>
      </c>
      <c r="F144" s="152">
        <v>0.4</v>
      </c>
      <c r="G144" s="195">
        <f>F144*G141</f>
        <v>47.88</v>
      </c>
      <c r="H144" s="153">
        <f>H141*F144</f>
        <v>48.28</v>
      </c>
      <c r="I144" s="179">
        <f>I141*F144</f>
        <v>51.120000000000005</v>
      </c>
      <c r="J144" s="153">
        <f>J141*F144</f>
        <v>40.32</v>
      </c>
      <c r="K144" s="317">
        <f t="shared" si="19"/>
        <v>187.6</v>
      </c>
      <c r="L144" s="294" t="s">
        <v>188</v>
      </c>
      <c r="M144" s="293"/>
      <c r="N144" s="293" t="e">
        <f>K144*L144</f>
        <v>#VALUE!</v>
      </c>
      <c r="O144" s="298"/>
    </row>
    <row r="145" spans="1:15" s="86" customFormat="1" ht="18" customHeight="1" x14ac:dyDescent="0.25">
      <c r="A145" s="121"/>
      <c r="B145" s="59"/>
      <c r="C145" s="60" t="s">
        <v>108</v>
      </c>
      <c r="D145" s="59"/>
      <c r="E145" s="59"/>
      <c r="F145" s="61"/>
      <c r="G145" s="206"/>
      <c r="H145" s="59"/>
      <c r="I145" s="166"/>
      <c r="J145" s="59"/>
      <c r="K145" s="310"/>
      <c r="L145" s="296"/>
      <c r="M145" s="293"/>
      <c r="N145" s="297"/>
      <c r="O145" s="318"/>
    </row>
    <row r="146" spans="1:15" s="158" customFormat="1" ht="15.75" customHeight="1" x14ac:dyDescent="0.2">
      <c r="A146" s="63" t="s">
        <v>179</v>
      </c>
      <c r="B146" s="64"/>
      <c r="C146" s="65" t="s">
        <v>93</v>
      </c>
      <c r="D146" s="132"/>
      <c r="E146" s="67"/>
      <c r="F146" s="126"/>
      <c r="G146" s="193"/>
      <c r="H146" s="137"/>
      <c r="I146" s="176"/>
      <c r="J146" s="137"/>
      <c r="K146" s="315"/>
      <c r="L146" s="325"/>
      <c r="M146" s="326"/>
      <c r="N146" s="322"/>
      <c r="O146" s="330"/>
    </row>
    <row r="147" spans="1:15" s="158" customFormat="1" ht="31.5" x14ac:dyDescent="0.2">
      <c r="A147" s="30" t="s">
        <v>180</v>
      </c>
      <c r="B147" s="80"/>
      <c r="C147" s="87" t="s">
        <v>94</v>
      </c>
      <c r="D147" s="251">
        <v>8</v>
      </c>
      <c r="E147" s="94" t="s">
        <v>37</v>
      </c>
      <c r="F147" s="95"/>
      <c r="G147" s="89">
        <v>12.61</v>
      </c>
      <c r="H147" s="197">
        <v>12.61</v>
      </c>
      <c r="I147" s="170">
        <v>12.61</v>
      </c>
      <c r="J147" s="90">
        <v>12.61</v>
      </c>
      <c r="K147" s="90">
        <f t="shared" ref="K147:K149" si="20">SUM(G147:J147)</f>
        <v>50.44</v>
      </c>
      <c r="L147" s="294" t="s">
        <v>188</v>
      </c>
      <c r="M147" s="293" t="e">
        <f>K147*L147</f>
        <v>#VALUE!</v>
      </c>
      <c r="N147" s="293"/>
      <c r="O147" s="301"/>
    </row>
    <row r="148" spans="1:15" s="158" customFormat="1" ht="15.75" customHeight="1" x14ac:dyDescent="0.2">
      <c r="A148" s="79"/>
      <c r="B148" s="221"/>
      <c r="C148" s="222" t="s">
        <v>57</v>
      </c>
      <c r="D148" s="252"/>
      <c r="E148" s="92" t="s">
        <v>43</v>
      </c>
      <c r="F148" s="88">
        <f>1.02*0.05</f>
        <v>5.1000000000000004E-2</v>
      </c>
      <c r="G148" s="83">
        <f>F148*G147</f>
        <v>0.64311000000000007</v>
      </c>
      <c r="H148" s="196">
        <f>F148*H147</f>
        <v>0.64311000000000007</v>
      </c>
      <c r="I148" s="169">
        <f>F148*I147</f>
        <v>0.64311000000000007</v>
      </c>
      <c r="J148" s="84">
        <f>F148*J147</f>
        <v>0.64311000000000007</v>
      </c>
      <c r="K148" s="316">
        <f t="shared" si="20"/>
        <v>2.5724400000000003</v>
      </c>
      <c r="L148" s="294" t="s">
        <v>188</v>
      </c>
      <c r="M148" s="293"/>
      <c r="N148" s="293" t="e">
        <f>K148*L148</f>
        <v>#VALUE!</v>
      </c>
      <c r="O148" s="301"/>
    </row>
    <row r="149" spans="1:15" s="158" customFormat="1" ht="15.75" customHeight="1" x14ac:dyDescent="0.2">
      <c r="A149" s="116"/>
      <c r="B149" s="223"/>
      <c r="C149" s="224" t="s">
        <v>65</v>
      </c>
      <c r="D149" s="252"/>
      <c r="E149" s="139" t="s">
        <v>39</v>
      </c>
      <c r="F149" s="140">
        <v>0.05</v>
      </c>
      <c r="G149" s="119">
        <f>F149*G147</f>
        <v>0.63050000000000006</v>
      </c>
      <c r="H149" s="199">
        <f>H147*F149</f>
        <v>0.63050000000000006</v>
      </c>
      <c r="I149" s="172">
        <f>I147*F149</f>
        <v>0.63050000000000006</v>
      </c>
      <c r="J149" s="120">
        <f>J147*F149</f>
        <v>0.63050000000000006</v>
      </c>
      <c r="K149" s="120">
        <f t="shared" si="20"/>
        <v>2.5220000000000002</v>
      </c>
      <c r="L149" s="294" t="s">
        <v>188</v>
      </c>
      <c r="M149" s="293"/>
      <c r="N149" s="293" t="e">
        <f>K149*L149</f>
        <v>#VALUE!</v>
      </c>
      <c r="O149" s="301"/>
    </row>
    <row r="150" spans="1:15" s="158" customFormat="1" ht="15.75" customHeight="1" x14ac:dyDescent="0.2">
      <c r="A150" s="23" t="s">
        <v>181</v>
      </c>
      <c r="B150" s="24"/>
      <c r="C150" s="25" t="s">
        <v>62</v>
      </c>
      <c r="D150" s="47"/>
      <c r="E150" s="26"/>
      <c r="F150" s="26"/>
      <c r="G150" s="48"/>
      <c r="H150" s="26"/>
      <c r="I150" s="26"/>
      <c r="J150" s="26"/>
      <c r="K150" s="26"/>
      <c r="L150" s="331"/>
      <c r="M150" s="332"/>
      <c r="N150" s="332"/>
      <c r="O150" s="330"/>
    </row>
    <row r="151" spans="1:15" s="158" customFormat="1" ht="15.75" customHeight="1" x14ac:dyDescent="0.2">
      <c r="A151" s="30" t="s">
        <v>182</v>
      </c>
      <c r="B151" s="43"/>
      <c r="C151" s="32" t="s">
        <v>64</v>
      </c>
      <c r="D151" s="253">
        <v>12</v>
      </c>
      <c r="E151" s="33" t="s">
        <v>37</v>
      </c>
      <c r="F151" s="34"/>
      <c r="G151" s="190">
        <v>111.6</v>
      </c>
      <c r="H151" s="188">
        <v>156.17999999999998</v>
      </c>
      <c r="I151" s="188">
        <v>156.17999999999998</v>
      </c>
      <c r="J151" s="51">
        <v>123.13</v>
      </c>
      <c r="K151" s="308">
        <f t="shared" ref="K151:K155" si="21">SUM(G151:J151)</f>
        <v>547.08999999999992</v>
      </c>
      <c r="L151" s="299" t="s">
        <v>188</v>
      </c>
      <c r="M151" s="293" t="e">
        <f>K151*L151</f>
        <v>#VALUE!</v>
      </c>
      <c r="N151" s="300"/>
      <c r="O151" s="301"/>
    </row>
    <row r="152" spans="1:15" s="158" customFormat="1" ht="15.75" customHeight="1" x14ac:dyDescent="0.2">
      <c r="A152" s="42"/>
      <c r="B152" s="218"/>
      <c r="C152" s="217" t="s">
        <v>57</v>
      </c>
      <c r="D152" s="253"/>
      <c r="E152" s="38" t="s">
        <v>43</v>
      </c>
      <c r="F152" s="44">
        <f>1.02*0.03</f>
        <v>3.0599999999999999E-2</v>
      </c>
      <c r="G152" s="50">
        <f>G151*F152</f>
        <v>3.4149599999999998</v>
      </c>
      <c r="H152" s="165">
        <f>H151*F152</f>
        <v>4.779107999999999</v>
      </c>
      <c r="I152" s="165">
        <f>I151*F152</f>
        <v>4.779107999999999</v>
      </c>
      <c r="J152" s="40">
        <f>J151*F152</f>
        <v>3.7677779999999998</v>
      </c>
      <c r="K152" s="309">
        <f t="shared" si="21"/>
        <v>16.740953999999995</v>
      </c>
      <c r="L152" s="299" t="s">
        <v>188</v>
      </c>
      <c r="M152" s="300"/>
      <c r="N152" s="293" t="e">
        <f>K152*L152</f>
        <v>#VALUE!</v>
      </c>
      <c r="O152" s="301"/>
    </row>
    <row r="153" spans="1:15" s="158" customFormat="1" ht="15.75" customHeight="1" x14ac:dyDescent="0.2">
      <c r="A153" s="42"/>
      <c r="B153" s="218"/>
      <c r="C153" s="217" t="s">
        <v>65</v>
      </c>
      <c r="D153" s="253"/>
      <c r="E153" s="38" t="s">
        <v>39</v>
      </c>
      <c r="F153" s="39">
        <v>0.03</v>
      </c>
      <c r="G153" s="50">
        <f>F153*G151</f>
        <v>3.3479999999999999</v>
      </c>
      <c r="H153" s="165">
        <f>H151*F153</f>
        <v>4.6853999999999996</v>
      </c>
      <c r="I153" s="165">
        <f>I151*F153</f>
        <v>4.6853999999999996</v>
      </c>
      <c r="J153" s="40">
        <f>J151*F153</f>
        <v>3.6938999999999997</v>
      </c>
      <c r="K153" s="309">
        <f t="shared" si="21"/>
        <v>16.412700000000001</v>
      </c>
      <c r="L153" s="299" t="s">
        <v>188</v>
      </c>
      <c r="M153" s="300"/>
      <c r="N153" s="293" t="e">
        <f>K153*L153</f>
        <v>#VALUE!</v>
      </c>
      <c r="O153" s="301"/>
    </row>
    <row r="154" spans="1:15" s="158" customFormat="1" ht="15.75" customHeight="1" x14ac:dyDescent="0.2">
      <c r="A154" s="30" t="s">
        <v>183</v>
      </c>
      <c r="B154" s="43"/>
      <c r="C154" s="32" t="s">
        <v>60</v>
      </c>
      <c r="D154" s="253"/>
      <c r="E154" s="33" t="s">
        <v>37</v>
      </c>
      <c r="F154" s="34"/>
      <c r="G154" s="190">
        <f>G151</f>
        <v>111.6</v>
      </c>
      <c r="H154" s="188">
        <f>H151</f>
        <v>156.17999999999998</v>
      </c>
      <c r="I154" s="188">
        <f>I151</f>
        <v>156.17999999999998</v>
      </c>
      <c r="J154" s="51">
        <f>J151</f>
        <v>123.13</v>
      </c>
      <c r="K154" s="308">
        <f t="shared" si="21"/>
        <v>547.08999999999992</v>
      </c>
      <c r="L154" s="299" t="s">
        <v>188</v>
      </c>
      <c r="M154" s="293" t="e">
        <f>K154*L154</f>
        <v>#VALUE!</v>
      </c>
      <c r="N154" s="300"/>
      <c r="O154" s="301"/>
    </row>
    <row r="155" spans="1:15" s="158" customFormat="1" ht="15.75" customHeight="1" x14ac:dyDescent="0.2">
      <c r="A155" s="248"/>
      <c r="B155" s="335"/>
      <c r="C155" s="336" t="s">
        <v>61</v>
      </c>
      <c r="D155" s="253"/>
      <c r="E155" s="337" t="s">
        <v>53</v>
      </c>
      <c r="F155" s="338">
        <v>0.5</v>
      </c>
      <c r="G155" s="339">
        <f>G154*F155</f>
        <v>55.8</v>
      </c>
      <c r="H155" s="340">
        <f>H154*F155</f>
        <v>78.089999999999989</v>
      </c>
      <c r="I155" s="340">
        <f>I154*F155</f>
        <v>78.089999999999989</v>
      </c>
      <c r="J155" s="341">
        <f>J154*F155</f>
        <v>61.564999999999998</v>
      </c>
      <c r="K155" s="342">
        <f t="shared" si="21"/>
        <v>273.54499999999996</v>
      </c>
      <c r="L155" s="302" t="s">
        <v>188</v>
      </c>
      <c r="M155" s="300"/>
      <c r="N155" s="293" t="e">
        <f>K155*L155</f>
        <v>#VALUE!</v>
      </c>
      <c r="O155" s="301"/>
    </row>
    <row r="156" spans="1:15" s="158" customFormat="1" ht="15.75" customHeight="1" x14ac:dyDescent="0.25">
      <c r="A156" s="343"/>
      <c r="B156" s="343"/>
      <c r="C156" s="354" t="s">
        <v>189</v>
      </c>
      <c r="D156" s="334"/>
      <c r="E156" s="333"/>
      <c r="F156" s="333"/>
      <c r="G156" s="344"/>
      <c r="H156" s="344"/>
      <c r="I156" s="344"/>
      <c r="J156" s="344"/>
      <c r="K156" s="344"/>
      <c r="L156" s="300"/>
      <c r="M156" s="300" t="e">
        <f>SUM(M19:M155)</f>
        <v>#VALUE!</v>
      </c>
      <c r="N156" s="300" t="e">
        <f>SUM(N19:N155)</f>
        <v>#VALUE!</v>
      </c>
      <c r="O156" s="301"/>
    </row>
    <row r="157" spans="1:15" s="72" customFormat="1" ht="15.75" customHeight="1" x14ac:dyDescent="0.25">
      <c r="A157" s="298"/>
      <c r="B157" s="298"/>
      <c r="C157" s="355" t="s">
        <v>190</v>
      </c>
      <c r="D157" s="298"/>
      <c r="E157" s="345"/>
      <c r="F157" s="298"/>
      <c r="G157" s="346"/>
      <c r="H157" s="346"/>
      <c r="I157" s="346"/>
      <c r="J157" s="346"/>
      <c r="K157" s="346"/>
      <c r="L157" s="297"/>
      <c r="M157" s="320" t="e">
        <f>M156+N156</f>
        <v>#VALUE!</v>
      </c>
      <c r="N157" s="320"/>
      <c r="O157" s="298"/>
    </row>
    <row r="158" spans="1:15" s="72" customFormat="1" ht="15.75" customHeight="1" x14ac:dyDescent="0.25">
      <c r="A158" s="298"/>
      <c r="B158" s="298"/>
      <c r="C158" s="298" t="s">
        <v>194</v>
      </c>
      <c r="D158" s="334"/>
      <c r="E158" s="347"/>
      <c r="F158" s="334"/>
      <c r="G158" s="334"/>
      <c r="H158" s="334"/>
      <c r="I158" s="334"/>
      <c r="J158" s="346"/>
      <c r="K158" s="346"/>
      <c r="L158" s="297"/>
      <c r="M158" s="303" t="e">
        <f>M157*20/120</f>
        <v>#VALUE!</v>
      </c>
      <c r="N158" s="303"/>
      <c r="O158" s="298"/>
    </row>
    <row r="159" spans="1:15" s="72" customFormat="1" ht="15.75" customHeight="1" x14ac:dyDescent="0.25">
      <c r="E159" s="159"/>
      <c r="G159" s="160"/>
      <c r="H159" s="160"/>
      <c r="I159" s="160"/>
      <c r="J159" s="160"/>
      <c r="K159" s="160"/>
    </row>
    <row r="160" spans="1:15" s="160" customFormat="1" ht="15.75" x14ac:dyDescent="0.25">
      <c r="A160" s="72"/>
      <c r="B160" s="72"/>
      <c r="C160" s="156"/>
      <c r="D160" s="156"/>
      <c r="E160" s="161"/>
      <c r="F160" s="162"/>
      <c r="G160" s="156"/>
      <c r="H160" s="156"/>
      <c r="I160" s="156"/>
    </row>
    <row r="161" spans="1:11" s="160" customFormat="1" ht="15.75" x14ac:dyDescent="0.25">
      <c r="A161" s="72"/>
      <c r="B161" s="72"/>
      <c r="C161" s="156"/>
      <c r="D161" s="156"/>
      <c r="E161" s="163"/>
      <c r="F161" s="156"/>
      <c r="G161" s="156"/>
      <c r="H161" s="156"/>
      <c r="I161" s="156"/>
    </row>
    <row r="162" spans="1:11" s="160" customFormat="1" ht="15.75" x14ac:dyDescent="0.25">
      <c r="A162" s="72"/>
      <c r="B162" s="72"/>
      <c r="C162" s="156"/>
      <c r="D162" s="156"/>
      <c r="E162" s="161"/>
      <c r="F162" s="162"/>
      <c r="G162" s="156"/>
      <c r="H162" s="156"/>
      <c r="I162" s="156"/>
    </row>
    <row r="163" spans="1:11" s="72" customFormat="1" ht="12.75" x14ac:dyDescent="0.25">
      <c r="E163" s="159"/>
      <c r="G163" s="160"/>
      <c r="H163" s="160"/>
      <c r="I163" s="160"/>
      <c r="J163" s="160"/>
      <c r="K163" s="160"/>
    </row>
    <row r="164" spans="1:11" s="72" customFormat="1" ht="12.75" x14ac:dyDescent="0.25">
      <c r="E164" s="159"/>
      <c r="G164" s="160"/>
      <c r="H164" s="160"/>
      <c r="I164" s="160"/>
      <c r="J164" s="160"/>
      <c r="K164" s="160"/>
    </row>
    <row r="165" spans="1:11" s="72" customFormat="1" ht="12.75" x14ac:dyDescent="0.25">
      <c r="E165" s="159"/>
      <c r="G165" s="160"/>
      <c r="H165" s="160"/>
      <c r="I165" s="160"/>
      <c r="J165" s="160"/>
      <c r="K165" s="160"/>
    </row>
    <row r="166" spans="1:11" s="72" customFormat="1" ht="12.75" x14ac:dyDescent="0.25">
      <c r="E166" s="159"/>
      <c r="G166" s="160"/>
      <c r="H166" s="160"/>
      <c r="I166" s="160"/>
      <c r="J166" s="160"/>
      <c r="K166" s="160"/>
    </row>
    <row r="167" spans="1:11" s="72" customFormat="1" ht="12.75" x14ac:dyDescent="0.25">
      <c r="E167" s="159"/>
      <c r="G167" s="160"/>
      <c r="H167" s="160"/>
      <c r="I167" s="160"/>
      <c r="J167" s="160"/>
      <c r="K167" s="160"/>
    </row>
  </sheetData>
  <autoFilter ref="A18:K155" xr:uid="{A4EF7C57-1EAF-4181-BB69-355261523809}"/>
  <mergeCells count="40">
    <mergeCell ref="L7:L11"/>
    <mergeCell ref="M7:M11"/>
    <mergeCell ref="N7:N11"/>
    <mergeCell ref="O7:O11"/>
    <mergeCell ref="L15:L16"/>
    <mergeCell ref="M15:M16"/>
    <mergeCell ref="N15:N16"/>
    <mergeCell ref="O15:O16"/>
    <mergeCell ref="M157:N157"/>
    <mergeCell ref="M158:N158"/>
    <mergeCell ref="D141:D144"/>
    <mergeCell ref="D147:D149"/>
    <mergeCell ref="D151:D155"/>
    <mergeCell ref="D100:D106"/>
    <mergeCell ref="D108:D116"/>
    <mergeCell ref="D119:D123"/>
    <mergeCell ref="D125:D131"/>
    <mergeCell ref="D133:D135"/>
    <mergeCell ref="D137:D139"/>
    <mergeCell ref="D46:D52"/>
    <mergeCell ref="D54:D62"/>
    <mergeCell ref="D64:D70"/>
    <mergeCell ref="D72:D80"/>
    <mergeCell ref="D82:D90"/>
    <mergeCell ref="D92:D98"/>
    <mergeCell ref="A17:K17"/>
    <mergeCell ref="D19:D30"/>
    <mergeCell ref="A25:A26"/>
    <mergeCell ref="C25:C26"/>
    <mergeCell ref="D32:D36"/>
    <mergeCell ref="D38:D42"/>
    <mergeCell ref="A11:K12"/>
    <mergeCell ref="B13:K13"/>
    <mergeCell ref="A15:A16"/>
    <mergeCell ref="B15:B16"/>
    <mergeCell ref="C15:C16"/>
    <mergeCell ref="D15:D16"/>
    <mergeCell ref="E15:E16"/>
    <mergeCell ref="F15:F16"/>
    <mergeCell ref="G15:K15"/>
  </mergeCells>
  <conditionalFormatting sqref="G72:J80 K47:K52 G136:K139 G66:K70 G141:K142 G143:J143 K143:K144 G81:K90 H135 G118:K131">
    <cfRule type="cellIs" dxfId="31" priority="32" operator="lessThan">
      <formula>0</formula>
    </cfRule>
  </conditionalFormatting>
  <conditionalFormatting sqref="J47:J50">
    <cfRule type="cellIs" dxfId="30" priority="29" operator="lessThan">
      <formula>0</formula>
    </cfRule>
  </conditionalFormatting>
  <conditionalFormatting sqref="G47:I50 G51:G52">
    <cfRule type="cellIs" dxfId="29" priority="30" operator="lessThan">
      <formula>0</formula>
    </cfRule>
  </conditionalFormatting>
  <conditionalFormatting sqref="G45:K46">
    <cfRule type="cellIs" dxfId="28" priority="31" operator="lessThan">
      <formula>0</formula>
    </cfRule>
  </conditionalFormatting>
  <conditionalFormatting sqref="K55:K62">
    <cfRule type="cellIs" dxfId="27" priority="28" operator="lessThan">
      <formula>0</formula>
    </cfRule>
  </conditionalFormatting>
  <conditionalFormatting sqref="J55:J60 J62">
    <cfRule type="cellIs" dxfId="26" priority="26" operator="lessThan">
      <formula>0</formula>
    </cfRule>
  </conditionalFormatting>
  <conditionalFormatting sqref="G53:K53">
    <cfRule type="cellIs" dxfId="25" priority="27" operator="lessThan">
      <formula>0</formula>
    </cfRule>
  </conditionalFormatting>
  <conditionalFormatting sqref="G63:K63">
    <cfRule type="cellIs" dxfId="24" priority="22" operator="lessThan">
      <formula>0</formula>
    </cfRule>
  </conditionalFormatting>
  <conditionalFormatting sqref="K54">
    <cfRule type="cellIs" dxfId="23" priority="25" operator="lessThan">
      <formula>0</formula>
    </cfRule>
  </conditionalFormatting>
  <conditionalFormatting sqref="J54">
    <cfRule type="cellIs" dxfId="22" priority="23" operator="lessThan">
      <formula>0</formula>
    </cfRule>
  </conditionalFormatting>
  <conditionalFormatting sqref="G54:I60 G61:J61 G62:I62">
    <cfRule type="cellIs" dxfId="21" priority="24" operator="lessThan">
      <formula>0</formula>
    </cfRule>
  </conditionalFormatting>
  <conditionalFormatting sqref="K72:K80">
    <cfRule type="cellIs" dxfId="20" priority="21" operator="lessThan">
      <formula>0</formula>
    </cfRule>
  </conditionalFormatting>
  <conditionalFormatting sqref="G71:K71">
    <cfRule type="cellIs" dxfId="19" priority="20" operator="lessThan">
      <formula>0</formula>
    </cfRule>
  </conditionalFormatting>
  <conditionalFormatting sqref="G91:K98">
    <cfRule type="cellIs" dxfId="18" priority="19" operator="lessThan">
      <formula>0</formula>
    </cfRule>
  </conditionalFormatting>
  <conditionalFormatting sqref="G132:K132 G134:K135 K133">
    <cfRule type="cellIs" dxfId="17" priority="18" operator="lessThan">
      <formula>0</formula>
    </cfRule>
  </conditionalFormatting>
  <conditionalFormatting sqref="G140:K140">
    <cfRule type="cellIs" dxfId="16" priority="17" operator="lessThan">
      <formula>0</formula>
    </cfRule>
  </conditionalFormatting>
  <conditionalFormatting sqref="J51">
    <cfRule type="cellIs" dxfId="15" priority="15" operator="lessThan">
      <formula>0</formula>
    </cfRule>
  </conditionalFormatting>
  <conditionalFormatting sqref="H51:I51">
    <cfRule type="cellIs" dxfId="14" priority="16" operator="lessThan">
      <formula>0</formula>
    </cfRule>
  </conditionalFormatting>
  <conditionalFormatting sqref="J52">
    <cfRule type="cellIs" dxfId="13" priority="13" operator="lessThan">
      <formula>0</formula>
    </cfRule>
  </conditionalFormatting>
  <conditionalFormatting sqref="H52:I52">
    <cfRule type="cellIs" dxfId="12" priority="14" operator="lessThan">
      <formula>0</formula>
    </cfRule>
  </conditionalFormatting>
  <conditionalFormatting sqref="K65">
    <cfRule type="cellIs" dxfId="11" priority="12" operator="lessThan">
      <formula>0</formula>
    </cfRule>
  </conditionalFormatting>
  <conditionalFormatting sqref="J65">
    <cfRule type="cellIs" dxfId="10" priority="11" operator="lessThan">
      <formula>0</formula>
    </cfRule>
  </conditionalFormatting>
  <conditionalFormatting sqref="K64">
    <cfRule type="cellIs" dxfId="9" priority="10" operator="lessThan">
      <formula>0</formula>
    </cfRule>
  </conditionalFormatting>
  <conditionalFormatting sqref="J64">
    <cfRule type="cellIs" dxfId="8" priority="8" operator="lessThan">
      <formula>0</formula>
    </cfRule>
  </conditionalFormatting>
  <conditionalFormatting sqref="G64:I65">
    <cfRule type="cellIs" dxfId="7" priority="9" operator="lessThan">
      <formula>0</formula>
    </cfRule>
  </conditionalFormatting>
  <conditionalFormatting sqref="G146:K149">
    <cfRule type="cellIs" dxfId="6" priority="7" operator="lessThan">
      <formula>0</formula>
    </cfRule>
  </conditionalFormatting>
  <conditionalFormatting sqref="G99:K99">
    <cfRule type="cellIs" dxfId="5" priority="6" operator="lessThan">
      <formula>0</formula>
    </cfRule>
  </conditionalFormatting>
  <conditionalFormatting sqref="G100:K106">
    <cfRule type="cellIs" dxfId="4" priority="5" operator="lessThan">
      <formula>0</formula>
    </cfRule>
  </conditionalFormatting>
  <conditionalFormatting sqref="G107:K107">
    <cfRule type="cellIs" dxfId="3" priority="4" operator="lessThan">
      <formula>0</formula>
    </cfRule>
  </conditionalFormatting>
  <conditionalFormatting sqref="G108:J116">
    <cfRule type="cellIs" dxfId="2" priority="3" operator="lessThan">
      <formula>0</formula>
    </cfRule>
  </conditionalFormatting>
  <conditionalFormatting sqref="K108:K116">
    <cfRule type="cellIs" dxfId="1" priority="2" operator="lessThan">
      <formula>0</formula>
    </cfRule>
  </conditionalFormatting>
  <conditionalFormatting sqref="G133:J133">
    <cfRule type="cellIs" dxfId="0" priority="1" operator="lessThan">
      <formula>0</formula>
    </cfRule>
  </conditionalFormatting>
  <pageMargins left="0.51181102362204722" right="0.31496062992125984" top="0.35433070866141736" bottom="0.35433070866141736" header="0.31496062992125984" footer="0.11811023622047245"/>
  <pageSetup paperSize="9" scale="46" fitToHeight="0" orientation="portrait" r:id="rId1"/>
  <rowBreaks count="2" manualBreakCount="2">
    <brk id="70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ВОР</vt:lpstr>
      <vt:lpstr>ЛЗК от 04.06</vt:lpstr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Соломатина Светлана Викторовна</dc:creator>
  <cp:lastModifiedBy>Гук Ирина Владимировна</cp:lastModifiedBy>
  <cp:lastPrinted>2024-06-05T08:24:56Z</cp:lastPrinted>
  <dcterms:created xsi:type="dcterms:W3CDTF">2024-05-30T06:30:11Z</dcterms:created>
  <dcterms:modified xsi:type="dcterms:W3CDTF">2024-06-19T08:57:24Z</dcterms:modified>
</cp:coreProperties>
</file>